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0" windowWidth="10188" windowHeight="1140" activeTab="0"/>
  </bookViews>
  <sheets>
    <sheet name="Social Security Calculator" sheetId="1" r:id="rId1"/>
    <sheet name="Source Tables" sheetId="2" r:id="rId2"/>
  </sheets>
  <definedNames>
    <definedName name="_xlnm._FilterDatabase" localSheetId="0" hidden="1">'Social Security Calculator'!$U$29:$U$846</definedName>
    <definedName name="fna" localSheetId="1">'Source Tables'!$B$84</definedName>
    <definedName name="fnb" localSheetId="1">'Source Tables'!$B$89</definedName>
    <definedName name="fnc" localSheetId="1">'Source Tables'!$B$93</definedName>
    <definedName name="maxEarnings" localSheetId="1">'Source Tables'!$M$62</definedName>
  </definedNames>
  <calcPr fullCalcOnLoad="1"/>
</workbook>
</file>

<file path=xl/sharedStrings.xml><?xml version="1.0" encoding="utf-8"?>
<sst xmlns="http://schemas.openxmlformats.org/spreadsheetml/2006/main" count="395" uniqueCount="213">
  <si>
    <t>Year</t>
  </si>
  <si>
    <t>AGE</t>
  </si>
  <si>
    <t>OASI</t>
  </si>
  <si>
    <t>DI</t>
  </si>
  <si>
    <t>HI</t>
  </si>
  <si>
    <t>Total</t>
  </si>
  <si>
    <t>Cap</t>
  </si>
  <si>
    <t>1937-49</t>
  </si>
  <si>
    <t>--</t>
  </si>
  <si>
    <t>1951-53</t>
  </si>
  <si>
    <t>1954-56</t>
  </si>
  <si>
    <t>1957-58</t>
  </si>
  <si>
    <t>1960-61</t>
  </si>
  <si>
    <t xml:space="preserve">First Year of Employment = </t>
  </si>
  <si>
    <t>http://www.socialsecurity.gov/OACT/ProgData/oasdiRates.html</t>
  </si>
  <si>
    <t>http://www.taxpolicycenter.org/taxfacts/displayafact.cfm?Docid=45</t>
  </si>
  <si>
    <t>Calendar years</t>
  </si>
  <si>
    <t>Tax rates as a percent of taxable earnings</t>
  </si>
  <si>
    <t>Tax rate for employees and employers, each</t>
  </si>
  <si>
    <t>Tax rate for self-employed workers</t>
  </si>
  <si>
    <t>Historical Social Security Tax Rates [1]</t>
  </si>
  <si>
    <t>Maximum taxable earnings</t>
  </si>
  <si>
    <t>OASDI tax rate [2]</t>
  </si>
  <si>
    <t>HI tax rate [3]</t>
  </si>
  <si>
    <t xml:space="preserve">         </t>
  </si>
  <si>
    <t xml:space="preserve">OASI </t>
  </si>
  <si>
    <t xml:space="preserve">  DI </t>
  </si>
  <si>
    <t xml:space="preserve">OASDI </t>
  </si>
  <si>
    <t>-</t>
  </si>
  <si>
    <t>Employees</t>
  </si>
  <si>
    <t>Employers</t>
  </si>
  <si>
    <t xml:space="preserve">Combined total </t>
  </si>
  <si>
    <t>1963-65</t>
  </si>
  <si>
    <t>1971-72</t>
  </si>
  <si>
    <t xml:space="preserve">    2011 [4]</t>
  </si>
  <si>
    <t>1974-77</t>
  </si>
  <si>
    <t>2012 [4]</t>
  </si>
  <si>
    <t>1984-87 a</t>
  </si>
  <si>
    <t>[1] The tax rate refers to the combined rate for employers and employees.</t>
  </si>
  <si>
    <t>[2] OASDI refers to the "Old-Age, Survivors, and Disability Insurance" program.</t>
  </si>
  <si>
    <t>[3] HI refers to Medicare's Hospital Insurance program.</t>
  </si>
  <si>
    <t xml:space="preserve">[4] For 2011 and 2012, the OASDI tax rate on wages for employees and self-employed individuals is reduced from 6.2% to 4.2%. The OASDI tax rate on employers remains at 6.2%. </t>
  </si>
  <si>
    <t>1988-89 a</t>
  </si>
  <si>
    <t>Sources: Social Security Administration, http://www.ssa.gov/OACT/COLA/cbb.html and http://www.ssa.gov/OACT/ProgData/taxRates.html, last accessed September 27, 2012.</t>
  </si>
  <si>
    <t>1990-93 b</t>
  </si>
  <si>
    <t>1994-96 b</t>
  </si>
  <si>
    <t>1997-99 b</t>
  </si>
  <si>
    <t>Interest</t>
  </si>
  <si>
    <t>ENTER</t>
  </si>
  <si>
    <t>—</t>
  </si>
  <si>
    <t>d. Prior to 1994, the payroll tax on earnings for the HI program applied to annual earnings up to a contribution base. The HI contribution base was eliminated beginning in 1994.</t>
  </si>
  <si>
    <t>e. Starting with Federal personal income tax returns for 2013, earned income exceeding $200,000 for individual filers and $250,000 for married couples filing jointly is subject to an additional HI tax of 0.9 percent. These income limits are not indexed after 2013.</t>
  </si>
  <si>
    <t>f. In 1984 only, employees received an immediate credit of 0.3 percent of taxable wages against their OASDI payroll tax contributions. The self-employed received similar credits of 2.7 percent, 2.3 percent, and 2.0 percent against their combined OASDI and Hospital Insurance (HI) contributions on net earnings from self-employment in 1984, 1985, and 1986-89, respectively. The General Fund of the Treasury reimbursed
the trust funds for these credits.</t>
  </si>
  <si>
    <t xml:space="preserve">g. Public Law 111-147 exempted most employers from paying the employer share of OASDI payroll tax on wages paid during the period March 19, 2010 through December 31, 2010 to certain qualified individuals hired after February 3, 2010. Public Law 111-312, Public Law 112-78, and Public Law 112-96 reduced the OASDI payroll tax rate for 2011 and 2012 by 2 percentage points for employees and for self-employed workers. These laws require that the General Fund of the Treasury reimburse the OASI and DI Trust Funds for these temporary reductions in 2010, 2011, and 2012 payroll tax revenue, in order to “replicate to the extent possible” revenue that would have been received if the combined employee/employer payroll tax rates had remained at 12.4 percent for OASDI (10.6 percent for OASI and 1.8 percent for DI). </t>
  </si>
  <si>
    <t>Notes: Amounts for 1937-74 and for 1979-81 were set by statute; all other amounts were determined under automatic adjustment provisions of the Social Security Act.  For 1991, 1992 and 1993, the upper limits on earnings subject to HI taxes were $125,000, $130,200 and $135,000 respectively. The upper limit was repealed by the Omnibus Budget Reconciliation Act of 1993.</t>
  </si>
  <si>
    <r>
      <t>a</t>
    </r>
    <r>
      <rPr>
        <sz val="11"/>
        <rFont val="Arial"/>
        <family val="2"/>
      </rPr>
      <t xml:space="preserve"> In 1984 only, an immediate credit of 0.3 percent of taxable wages was allowed against the OASDI taxes paid by employees, resulting in an effective employee tax rate of 5.4 percent. The OASI and DI trust funds, however, received general revenue equivalent to 0.3 percent of taxable wages for 1984. Similar credits of 2.7 percent, 2.3 percent, and 2.0 percent were allowed against the combined OASDI and HI taxes on net earnings from self-employment in 1984, 1985, and 1986-89, respectively.</t>
    </r>
  </si>
  <si>
    <r>
      <t>b</t>
    </r>
    <r>
      <rPr>
        <sz val="11"/>
        <rFont val="Arial"/>
        <family val="2"/>
      </rPr>
      <t xml:space="preserve"> Beginning in 1990, self-employed workers are allowed a deduction, for purposes of computing their net earnings, equal to half of the combined OASDI and HI contributions that would be payable without regard to the contribution and benefit base. The OASDI contribution rate is then applied to net earnings after this deduction, but subject to the OASDI base.</t>
    </r>
  </si>
  <si>
    <r>
      <t>c</t>
    </r>
    <r>
      <rPr>
        <sz val="11"/>
        <rFont val="Arial"/>
        <family val="2"/>
      </rPr>
      <t xml:space="preserve"> For 2010, most employers were exempt from paying the employer share of OASDI tax on wages paid to certain qualified individuals hired after February 3. For 2011 and 2012, the OASDI tax rate is reduced by 2 percentage points for employees and for self-employed workers, resulting in a 4.2 percent effective tax rate for employees and a 10.4 percent effective tax rate for self-employed workers. These reductions in tax revenue due to lower tax rates will be made up by transfers from the general fund of the Treasury to the OASI and DI trust funds. </t>
    </r>
  </si>
  <si>
    <t>Annual            Income</t>
  </si>
  <si>
    <t>Interest           Rate</t>
  </si>
  <si>
    <t>Work            Year</t>
  </si>
  <si>
    <t xml:space="preserve">     HI = Social Security's Hospital Insurance Program (Part A of Medicare).</t>
  </si>
  <si>
    <t xml:space="preserve">Total Income Earned = </t>
  </si>
  <si>
    <t xml:space="preserve">Total Payroll Taxes Paid = </t>
  </si>
  <si>
    <t xml:space="preserve">Average Working Lifetime Income = </t>
  </si>
  <si>
    <t xml:space="preserve">Last Year's income Before Retirement = </t>
  </si>
  <si>
    <t xml:space="preserve">Number of Years Employed = </t>
  </si>
  <si>
    <t xml:space="preserve">First Year's Income = </t>
  </si>
  <si>
    <t>Interest    Accrued</t>
  </si>
  <si>
    <t>OASI             Balance</t>
  </si>
  <si>
    <t>Total             Balance</t>
  </si>
  <si>
    <t>2000+c</t>
  </si>
  <si>
    <t xml:space="preserve">OASI  </t>
  </si>
  <si>
    <t>Taxes</t>
  </si>
  <si>
    <t>Balance</t>
  </si>
  <si>
    <t>Program</t>
  </si>
  <si>
    <t xml:space="preserve"> DI</t>
  </si>
  <si>
    <t xml:space="preserve">Age = </t>
  </si>
  <si>
    <t>INPUT  PARAMATERS</t>
  </si>
  <si>
    <t>HI                                    Paid</t>
  </si>
  <si>
    <t>&lt;link href="/framework/css/noscript.css" type="text/css" rel="stylesheet" media="all" /&gt;</t>
  </si>
  <si>
    <t>AWI</t>
  </si>
  <si>
    <t>Annual change</t>
  </si>
  <si>
    <t>Link to Social Security Benefits Calculations</t>
  </si>
  <si>
    <t>HI                           Paid</t>
  </si>
  <si>
    <t>OASI = Social Secruity's Old Age Survivors Insurance Program.</t>
  </si>
  <si>
    <t xml:space="preserve">     DI = Social Security's Disability Program.</t>
  </si>
  <si>
    <t>Input  Parameters</t>
  </si>
  <si>
    <t>HI                         Balance</t>
  </si>
  <si>
    <t>DI                       Balance</t>
  </si>
  <si>
    <t>DI                                 Paid</t>
  </si>
  <si>
    <t>Total                     Income</t>
  </si>
  <si>
    <t>HI                           Balance</t>
  </si>
  <si>
    <t>Total                          Balance</t>
  </si>
  <si>
    <t>DI                        Balance</t>
  </si>
  <si>
    <t>OASI                      Balance</t>
  </si>
  <si>
    <t>DI                            Paid</t>
  </si>
  <si>
    <t>OASI                 Paid</t>
  </si>
  <si>
    <t>Work              Year</t>
  </si>
  <si>
    <t xml:space="preserve">Average Income </t>
  </si>
  <si>
    <t>(XLS)</t>
  </si>
  <si>
    <t xml:space="preserve">Piketty and Saez </t>
  </si>
  <si>
    <t>Caps:</t>
  </si>
  <si>
    <t>From SSA</t>
  </si>
  <si>
    <t>Maximum Taxable Earnings Each Year</t>
  </si>
  <si>
    <t>1937 - 50</t>
  </si>
  <si>
    <t>1951 - 54</t>
  </si>
  <si>
    <t>1955 - 58</t>
  </si>
  <si>
    <t>1959 - 65</t>
  </si>
  <si>
    <t>1966 - 67</t>
  </si>
  <si>
    <t>1968 - 71</t>
  </si>
  <si>
    <t>link href="/framework/css/noscript.css" type="text/css" rel="stylesheet" media="all" /</t>
  </si>
  <si>
    <t>Income</t>
  </si>
  <si>
    <t>Index</t>
  </si>
  <si>
    <t>% Change</t>
  </si>
  <si>
    <t>Average              Income</t>
  </si>
  <si>
    <t>% of  Income</t>
  </si>
  <si>
    <t>Calculate Income Using</t>
  </si>
  <si>
    <t>Exponential Growth = 2</t>
  </si>
  <si>
    <t xml:space="preserve"> Retirement = </t>
  </si>
  <si>
    <t>OASI                          Paid</t>
  </si>
  <si>
    <t xml:space="preserve">Annual Rate of Income Increase % = </t>
  </si>
  <si>
    <t xml:space="preserve">ACTIVE = </t>
  </si>
  <si>
    <t>Historical Growth = 1</t>
  </si>
  <si>
    <t>SUMMARY OF INCOME AND TAXES</t>
  </si>
  <si>
    <t>Income Cap = 3</t>
  </si>
  <si>
    <t>Payroll Tax Rates and Income Caps from SSA Tables</t>
  </si>
  <si>
    <t>Exact</t>
  </si>
  <si>
    <t>age</t>
  </si>
  <si>
    <t>Male</t>
  </si>
  <si>
    <t>Female</t>
  </si>
  <si>
    <t>Death</t>
  </si>
  <si>
    <t>probability a</t>
  </si>
  <si>
    <t>Number of</t>
  </si>
  <si>
    <t>lives b</t>
  </si>
  <si>
    <t>Life</t>
  </si>
  <si>
    <t>expectancy</t>
  </si>
  <si>
    <t>Life Tables</t>
  </si>
  <si>
    <t>A period life table is based on the mortality experience of a population during a relatively short period of time. Here we present the 2007 period life table for the Social Security area population. For this table, the period life expectancy at a given age represents the average number of years of life remaining if a group of persons at that age were to experience the mortality rates for 2007 over the course of their remaining life.</t>
  </si>
  <si>
    <r>
      <t>a</t>
    </r>
    <r>
      <rPr>
        <sz val="9.6"/>
        <color indexed="63"/>
        <rFont val="Arial"/>
        <family val="2"/>
      </rPr>
      <t xml:space="preserve"> Probability of dying within one year.</t>
    </r>
  </si>
  <si>
    <r>
      <t>b</t>
    </r>
    <r>
      <rPr>
        <sz val="9.6"/>
        <color indexed="63"/>
        <rFont val="Arial"/>
        <family val="2"/>
      </rPr>
      <t>Number of survivors out of 100,000 born alive.</t>
    </r>
  </si>
  <si>
    <t>Note: The period life expectancy at a given age for 2007 represents the average number of years of life remaining if a group of persons at that age were to experience the mortality rates for 2007 over the course of their remaining life.</t>
  </si>
  <si>
    <t>The Social Security area population is comprised of (i) residents of the 50 States and the District of Columbia (adjusted for net census under­count); (ii) civilian residents of Puerto Rico, the Virgin Islands, Guam, American Samoa and the Northern Mariana Islands; (iii) Federal civilian employees and persons in the U.S. Armed Forces abroad and their dependents; (iv) crew members of merchant vessels; and (v) all other U.S. citizens abroad.</t>
  </si>
  <si>
    <t>Home</t>
  </si>
  <si>
    <t>English</t>
  </si>
  <si>
    <t>Other Languages</t>
  </si>
  <si>
    <t>Policy</t>
  </si>
  <si>
    <t>FOIA</t>
  </si>
  <si>
    <t>No FEAR</t>
  </si>
  <si>
    <t>Privacy</t>
  </si>
  <si>
    <t>Web Accessibility</t>
  </si>
  <si>
    <t>Website Policies</t>
  </si>
  <si>
    <t>Related Websites</t>
  </si>
  <si>
    <t>USA.gov</t>
  </si>
  <si>
    <t>Benefits.gov</t>
  </si>
  <si>
    <t>MyMoney.gov</t>
  </si>
  <si>
    <t>Regulations.gov</t>
  </si>
  <si>
    <t>Other Government Websites</t>
  </si>
  <si>
    <t>Organizational Info</t>
  </si>
  <si>
    <t>Site Map</t>
  </si>
  <si>
    <t>About Us</t>
  </si>
  <si>
    <t>Normal Retirement Age</t>
  </si>
  <si>
    <t>Year of birth</t>
  </si>
  <si>
    <t>1937 and prior</t>
  </si>
  <si>
    <t>65 and 2 months</t>
  </si>
  <si>
    <t>65 and 4 months</t>
  </si>
  <si>
    <t>65 and 6 months</t>
  </si>
  <si>
    <t>65 and 8 months</t>
  </si>
  <si>
    <t>65 and 10 months</t>
  </si>
  <si>
    <t>1943-54</t>
  </si>
  <si>
    <t>66 and 2 months</t>
  </si>
  <si>
    <t>66 and 4 months</t>
  </si>
  <si>
    <t>66 and 6 months</t>
  </si>
  <si>
    <t>66 and 8 months</t>
  </si>
  <si>
    <t>66 and 10 months</t>
  </si>
  <si>
    <t>1960 and later</t>
  </si>
  <si>
    <t>Notes:</t>
  </si>
  <si>
    <t>1. Persons born on January 1 of any year should refer to the normal retirement age for the previous year.</t>
  </si>
  <si>
    <t>2. For the purpose of determining benefit reductions for early retirement, widows and widowers whose entitlement is based on having attained age 60 should add 2 years to the year of birth shown in the table.</t>
  </si>
  <si>
    <t>Recipient</t>
  </si>
  <si>
    <t>Detailed Calculator</t>
  </si>
  <si>
    <t>Actuarial Life Table</t>
  </si>
  <si>
    <t>Month</t>
  </si>
  <si>
    <t xml:space="preserve"> HI</t>
  </si>
  <si>
    <t xml:space="preserve">Rate of Return % = </t>
  </si>
  <si>
    <t>INPUT PARAMATERS</t>
  </si>
  <si>
    <t>Present Value</t>
  </si>
  <si>
    <t xml:space="preserve">Discount Rate = </t>
  </si>
  <si>
    <t xml:space="preserve">Male Life Expectancy = </t>
  </si>
  <si>
    <t xml:space="preserve">Female Life Expectancy = </t>
  </si>
  <si>
    <t>Social Security Administration’s Tax Rates as a Percent of Taxable Earnings Table.</t>
  </si>
  <si>
    <r>
      <t xml:space="preserve">We use the national average wage indexing series to index the earnings of individuals for </t>
    </r>
    <r>
      <rPr>
        <sz val="12"/>
        <color indexed="62"/>
        <rFont val="Arial"/>
        <family val="2"/>
      </rPr>
      <t>benefit computation</t>
    </r>
    <r>
      <rPr>
        <sz val="12"/>
        <color indexed="63"/>
        <rFont val="Arial"/>
        <family val="2"/>
      </rPr>
      <t xml:space="preserve"> purposes. We also use the series to </t>
    </r>
    <r>
      <rPr>
        <sz val="12"/>
        <color indexed="62"/>
        <rFont val="Arial"/>
        <family val="2"/>
      </rPr>
      <t>index several amounts</t>
    </r>
    <r>
      <rPr>
        <sz val="12"/>
        <color indexed="63"/>
        <rFont val="Arial"/>
        <family val="2"/>
      </rPr>
      <t xml:space="preserve"> that are important to the operation of Social Security's Old-Age, Survivors, and Disability program.</t>
    </r>
  </si>
  <si>
    <t>Social Security OASI Benefit Present Value Calculator</t>
  </si>
  <si>
    <t>Present Value Calculations</t>
  </si>
  <si>
    <t>Payroll Tax, Income, and Alternative Investment Calculations</t>
  </si>
  <si>
    <t>Female                    Recipient</t>
  </si>
  <si>
    <t xml:space="preserve">OASI Monthly Benefit = </t>
  </si>
  <si>
    <r>
      <t xml:space="preserve">The six pieces of information you enter in the cells marked in </t>
    </r>
    <r>
      <rPr>
        <b/>
        <sz val="12"/>
        <color indexed="10"/>
        <rFont val="Arial"/>
        <family val="2"/>
      </rPr>
      <t>red</t>
    </r>
    <r>
      <rPr>
        <b/>
        <sz val="12"/>
        <color indexed="8"/>
        <rFont val="Arial"/>
        <family val="2"/>
      </rPr>
      <t xml:space="preserve"> below are used to create an income stream over the period of employment determined by </t>
    </r>
    <r>
      <rPr>
        <b/>
        <sz val="12"/>
        <color indexed="10"/>
        <rFont val="Arial"/>
        <family val="2"/>
      </rPr>
      <t>First Year of Employment</t>
    </r>
    <r>
      <rPr>
        <b/>
        <sz val="12"/>
        <color indexed="8"/>
        <rFont val="Arial"/>
        <family val="2"/>
      </rPr>
      <t xml:space="preserve"> and </t>
    </r>
    <r>
      <rPr>
        <b/>
        <sz val="12"/>
        <color indexed="10"/>
        <rFont val="Arial"/>
        <family val="2"/>
      </rPr>
      <t>Number of Years Worked</t>
    </r>
    <r>
      <rPr>
        <b/>
        <sz val="12"/>
        <color indexed="8"/>
        <rFont val="Arial"/>
        <family val="2"/>
      </rPr>
      <t xml:space="preserve">.  The appropriate payroll tax rates corresponding tax rates are then applied to this income stream to calculate a) the amount of payroll taxes paid out of that income stream and b) the value of those taxes if were they invested at the given </t>
    </r>
    <r>
      <rPr>
        <b/>
        <sz val="12"/>
        <color indexed="10"/>
        <rFont val="Arial"/>
        <family val="2"/>
      </rPr>
      <t>Rate of Return</t>
    </r>
    <r>
      <rPr>
        <b/>
        <sz val="12"/>
        <color indexed="8"/>
        <rFont val="Arial"/>
        <family val="2"/>
      </rPr>
      <t xml:space="preserve"> in an alternative investment.  If </t>
    </r>
    <r>
      <rPr>
        <b/>
        <sz val="12"/>
        <color indexed="10"/>
        <rFont val="Arial"/>
        <family val="2"/>
      </rPr>
      <t>1</t>
    </r>
    <r>
      <rPr>
        <b/>
        <sz val="12"/>
        <color indexed="8"/>
        <rFont val="Arial"/>
        <family val="2"/>
      </rPr>
      <t xml:space="preserve"> is entered in the </t>
    </r>
    <r>
      <rPr>
        <b/>
        <sz val="12"/>
        <color indexed="10"/>
        <rFont val="Arial"/>
        <family val="2"/>
      </rPr>
      <t>ACTIVE</t>
    </r>
    <r>
      <rPr>
        <b/>
        <sz val="12"/>
        <color indexed="8"/>
        <rFont val="Arial"/>
        <family val="2"/>
      </rPr>
      <t xml:space="preserve"> cell, the income stream is created by increasing </t>
    </r>
    <r>
      <rPr>
        <b/>
        <sz val="12"/>
        <color indexed="10"/>
        <rFont val="Arial"/>
        <family val="2"/>
      </rPr>
      <t>First Year's Income</t>
    </r>
    <r>
      <rPr>
        <b/>
        <sz val="12"/>
        <color indexed="8"/>
        <rFont val="Arial"/>
        <family val="2"/>
      </rPr>
      <t xml:space="preserve"> by the percentage Average Income has increased for each year through 2010 and by the percentage entered in  </t>
    </r>
    <r>
      <rPr>
        <b/>
        <sz val="12"/>
        <color indexed="10"/>
        <rFont val="Arial"/>
        <family val="2"/>
      </rPr>
      <t>Annual Rate of Income Increases %</t>
    </r>
    <r>
      <rPr>
        <b/>
        <sz val="12"/>
        <color indexed="8"/>
        <rFont val="Arial"/>
        <family val="2"/>
      </rPr>
      <t xml:space="preserve"> for years beyond 2010.   If </t>
    </r>
    <r>
      <rPr>
        <b/>
        <sz val="12"/>
        <color indexed="10"/>
        <rFont val="Arial"/>
        <family val="2"/>
      </rPr>
      <t>2</t>
    </r>
    <r>
      <rPr>
        <b/>
        <sz val="12"/>
        <color indexed="8"/>
        <rFont val="Arial"/>
        <family val="2"/>
      </rPr>
      <t xml:space="preserve"> is entered in the </t>
    </r>
    <r>
      <rPr>
        <b/>
        <sz val="12"/>
        <color indexed="10"/>
        <rFont val="Arial"/>
        <family val="2"/>
      </rPr>
      <t>ACTIVE</t>
    </r>
    <r>
      <rPr>
        <b/>
        <sz val="12"/>
        <color indexed="8"/>
        <rFont val="Arial"/>
        <family val="2"/>
      </rPr>
      <t xml:space="preserve"> cell, the income stream is created by increasing each year's income by  the  percentage entered in </t>
    </r>
    <r>
      <rPr>
        <b/>
        <sz val="12"/>
        <color indexed="10"/>
        <rFont val="Arial"/>
        <family val="2"/>
      </rPr>
      <t>Annual Rate of Income Increases %</t>
    </r>
    <r>
      <rPr>
        <b/>
        <sz val="12"/>
        <color indexed="8"/>
        <rFont val="Arial"/>
        <family val="2"/>
      </rPr>
      <t xml:space="preserve"> beginning with the amount entered in </t>
    </r>
    <r>
      <rPr>
        <b/>
        <sz val="12"/>
        <color indexed="10"/>
        <rFont val="Arial"/>
        <family val="2"/>
      </rPr>
      <t>First Year's Income</t>
    </r>
    <r>
      <rPr>
        <b/>
        <sz val="12"/>
        <color indexed="8"/>
        <rFont val="Arial"/>
        <family val="2"/>
      </rPr>
      <t xml:space="preserve">.  If </t>
    </r>
    <r>
      <rPr>
        <b/>
        <sz val="12"/>
        <color indexed="10"/>
        <rFont val="Arial"/>
        <family val="2"/>
      </rPr>
      <t>3</t>
    </r>
    <r>
      <rPr>
        <b/>
        <sz val="12"/>
        <color indexed="8"/>
        <rFont val="Arial"/>
        <family val="2"/>
      </rPr>
      <t xml:space="preserve"> is entered in the </t>
    </r>
    <r>
      <rPr>
        <b/>
        <sz val="12"/>
        <color indexed="10"/>
        <rFont val="Arial"/>
        <family val="2"/>
      </rPr>
      <t>ACTIVE</t>
    </r>
    <r>
      <rPr>
        <b/>
        <sz val="12"/>
        <color indexed="8"/>
        <rFont val="Arial"/>
        <family val="2"/>
      </rPr>
      <t xml:space="preserve"> cell, the income stream is given by the payroll tax income </t>
    </r>
    <r>
      <rPr>
        <b/>
        <sz val="12"/>
        <color indexed="10"/>
        <rFont val="Arial"/>
        <family val="2"/>
      </rPr>
      <t>Cap</t>
    </r>
    <r>
      <rPr>
        <b/>
        <sz val="12"/>
        <color indexed="8"/>
        <rFont val="Arial"/>
        <family val="2"/>
      </rPr>
      <t xml:space="preserve"> in effect during the corresponding year.  </t>
    </r>
  </si>
  <si>
    <r>
      <t xml:space="preserve">The four pieces of information you enter below are used to calculate the present value of the </t>
    </r>
    <r>
      <rPr>
        <b/>
        <sz val="12"/>
        <color indexed="10"/>
        <rFont val="Arial"/>
        <family val="2"/>
      </rPr>
      <t xml:space="preserve">OASI Monthly Benefit </t>
    </r>
    <r>
      <rPr>
        <b/>
        <sz val="12"/>
        <rFont val="Arial"/>
        <family val="2"/>
      </rPr>
      <t xml:space="preserve">received by OASI beneficiaries over the </t>
    </r>
    <r>
      <rPr>
        <b/>
        <sz val="12"/>
        <color indexed="10"/>
        <rFont val="Arial"/>
        <family val="2"/>
      </rPr>
      <t>Male Life Expectancy</t>
    </r>
    <r>
      <rPr>
        <b/>
        <sz val="12"/>
        <rFont val="Arial"/>
        <family val="2"/>
      </rPr>
      <t xml:space="preserve"> and </t>
    </r>
    <r>
      <rPr>
        <b/>
        <sz val="12"/>
        <color indexed="10"/>
        <rFont val="Arial"/>
        <family val="2"/>
      </rPr>
      <t>Female Life Expectancy</t>
    </r>
    <r>
      <rPr>
        <b/>
        <sz val="12"/>
        <rFont val="Arial"/>
        <family val="2"/>
      </rPr>
      <t xml:space="preserve"> the Recipient of these benefits.   This present value is calculated for both for both male and female Recipients and for both single and married recipients.   The appropriate life expectancy to enter is the </t>
    </r>
    <r>
      <rPr>
        <b/>
        <sz val="12"/>
        <color indexed="10"/>
        <rFont val="Arial"/>
        <family val="2"/>
      </rPr>
      <t>Male Life Expectancy</t>
    </r>
    <r>
      <rPr>
        <b/>
        <sz val="12"/>
        <rFont val="Arial"/>
        <family val="2"/>
      </rPr>
      <t xml:space="preserve"> and </t>
    </r>
    <r>
      <rPr>
        <b/>
        <sz val="12"/>
        <color indexed="10"/>
        <rFont val="Arial"/>
        <family val="2"/>
      </rPr>
      <t>Female</t>
    </r>
    <r>
      <rPr>
        <b/>
        <sz val="12"/>
        <rFont val="Arial"/>
        <family val="2"/>
      </rPr>
      <t xml:space="preserve"> </t>
    </r>
    <r>
      <rPr>
        <b/>
        <sz val="12"/>
        <color indexed="10"/>
        <rFont val="Arial"/>
        <family val="2"/>
      </rPr>
      <t>Life Expectancy</t>
    </r>
    <r>
      <rPr>
        <b/>
        <sz val="12"/>
        <rFont val="Arial"/>
        <family val="2"/>
      </rPr>
      <t xml:space="preserve"> at the time the Recipient or the spouse of the Recipient begins to receive benefits.  Since the this calculator assumes the </t>
    </r>
    <r>
      <rPr>
        <b/>
        <sz val="12"/>
        <color indexed="10"/>
        <rFont val="Arial"/>
        <family val="2"/>
      </rPr>
      <t>OASI Monthly Benefit</t>
    </r>
    <r>
      <rPr>
        <b/>
        <sz val="12"/>
        <rFont val="Arial"/>
        <family val="2"/>
      </rPr>
      <t xml:space="preserve"> doesn't change, you must reduce the </t>
    </r>
    <r>
      <rPr>
        <b/>
        <sz val="12"/>
        <color indexed="10"/>
        <rFont val="Arial"/>
        <family val="2"/>
      </rPr>
      <t>Discount Rate</t>
    </r>
    <r>
      <rPr>
        <b/>
        <sz val="12"/>
        <rFont val="Arial"/>
        <family val="2"/>
      </rPr>
      <t xml:space="preserve"> by the expected COLA adjustment to arrive at the appropriate Present Value.  </t>
    </r>
  </si>
  <si>
    <t>NOTE</t>
  </si>
  <si>
    <t xml:space="preserve"> </t>
  </si>
  <si>
    <t>Male                   Recipient</t>
  </si>
  <si>
    <t>Male       Recipient</t>
  </si>
  <si>
    <t>Female     Recipient</t>
  </si>
  <si>
    <t>Spouse</t>
  </si>
  <si>
    <t>Single Male =</t>
  </si>
  <si>
    <t>Single Female =</t>
  </si>
  <si>
    <t>Married Couple =</t>
  </si>
  <si>
    <t>Spouse =</t>
  </si>
  <si>
    <t>Total Tax</t>
  </si>
  <si>
    <t>Payroll Tax, Income, and Alternative Investment Calculator</t>
  </si>
  <si>
    <r>
      <t xml:space="preserve">I have protected this spreadsheet without a password so if you wish to check the formulas, </t>
    </r>
    <r>
      <rPr>
        <b/>
        <sz val="12"/>
        <color indexed="10"/>
        <rFont val="Arial"/>
        <family val="2"/>
      </rPr>
      <t>and I hope as many people as possible do</t>
    </r>
    <r>
      <rPr>
        <b/>
        <sz val="12"/>
        <color indexed="8"/>
        <rFont val="Arial"/>
        <family val="2"/>
      </rPr>
      <t>,  you edit them by clicking on Review =&gt; Unprotect =&gt; View =&gt; Formula Bar.  The formula that generated the value in any give cell can be seen by clicking on that cell.  (Last updated 02/24/13.)</t>
    </r>
  </si>
  <si>
    <t xml:space="preserve">Year of Birth =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</si>
</sst>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0.000%"/>
    <numFmt numFmtId="167" formatCode="&quot;$&quot;#,##0"/>
    <numFmt numFmtId="168" formatCode="0.000000"/>
  </numFmts>
  <fonts count="74">
    <font>
      <sz val="12"/>
      <color theme="1"/>
      <name val="Arial"/>
      <family val="2"/>
    </font>
    <font>
      <sz val="12"/>
      <color indexed="8"/>
      <name val="Arial"/>
      <family val="2"/>
    </font>
    <font>
      <b/>
      <sz val="12"/>
      <color indexed="8"/>
      <name val="Arial"/>
      <family val="2"/>
    </font>
    <font>
      <sz val="10"/>
      <name val="Arial"/>
      <family val="2"/>
    </font>
    <font>
      <u val="single"/>
      <sz val="10"/>
      <color indexed="12"/>
      <name val="Arial"/>
      <family val="2"/>
    </font>
    <font>
      <b/>
      <sz val="11"/>
      <name val="Arial"/>
      <family val="2"/>
    </font>
    <font>
      <sz val="11"/>
      <name val="Arial"/>
      <family val="2"/>
    </font>
    <font>
      <b/>
      <sz val="11"/>
      <color indexed="8"/>
      <name val="Arial"/>
      <family val="2"/>
    </font>
    <font>
      <b/>
      <sz val="12"/>
      <name val="Arial"/>
      <family val="2"/>
    </font>
    <font>
      <b/>
      <u val="single"/>
      <sz val="12"/>
      <color indexed="12"/>
      <name val="Arial"/>
      <family val="2"/>
    </font>
    <font>
      <vertAlign val="superscript"/>
      <sz val="11"/>
      <name val="Arial"/>
      <family val="2"/>
    </font>
    <font>
      <b/>
      <sz val="12"/>
      <color indexed="10"/>
      <name val="Arial"/>
      <family val="2"/>
    </font>
    <font>
      <sz val="12"/>
      <name val="Arial"/>
      <family val="2"/>
    </font>
    <font>
      <b/>
      <sz val="14"/>
      <name val="Arial"/>
      <family val="2"/>
    </font>
    <font>
      <sz val="9.6"/>
      <color indexed="63"/>
      <name val="Arial"/>
      <family val="2"/>
    </font>
    <font>
      <sz val="12"/>
      <color indexed="62"/>
      <name val="Arial"/>
      <family val="2"/>
    </font>
    <font>
      <sz val="12"/>
      <color indexed="63"/>
      <name val="Arial"/>
      <family val="2"/>
    </font>
    <font>
      <u val="single"/>
      <sz val="12"/>
      <color indexed="12"/>
      <name val="Arial"/>
      <family val="2"/>
    </font>
    <font>
      <u val="single"/>
      <sz val="12"/>
      <color indexed="18"/>
      <name val="Arial"/>
      <family val="2"/>
    </font>
    <font>
      <sz val="14"/>
      <color indexed="8"/>
      <name val="Arial"/>
      <family val="2"/>
    </font>
    <font>
      <b/>
      <sz val="12"/>
      <color indexed="63"/>
      <name val="Arial"/>
      <family val="2"/>
    </font>
    <font>
      <sz val="12"/>
      <color indexed="10"/>
      <name val="Arial"/>
      <family val="2"/>
    </font>
    <font>
      <b/>
      <u val="single"/>
      <sz val="20"/>
      <color indexed="18"/>
      <name val="Arial"/>
      <family val="2"/>
    </font>
    <font>
      <b/>
      <sz val="11"/>
      <color indexed="17"/>
      <name val="Arial"/>
      <family val="2"/>
    </font>
    <font>
      <u val="single"/>
      <sz val="14"/>
      <color indexed="18"/>
      <name val="Arial"/>
      <family val="2"/>
    </font>
    <font>
      <b/>
      <u val="single"/>
      <sz val="14"/>
      <color indexed="18"/>
      <name val="Arial"/>
      <family val="2"/>
    </font>
    <font>
      <b/>
      <u val="single"/>
      <sz val="12"/>
      <color indexed="18"/>
      <name val="Arial"/>
      <family val="2"/>
    </font>
    <font>
      <b/>
      <sz val="14"/>
      <color indexed="8"/>
      <name val="Arial"/>
      <family val="2"/>
    </font>
    <font>
      <sz val="10"/>
      <color indexed="8"/>
      <name val="Arial"/>
      <family val="2"/>
    </font>
    <font>
      <sz val="9"/>
      <color indexed="62"/>
      <name val="Arial"/>
      <family val="2"/>
    </font>
    <font>
      <b/>
      <sz val="18"/>
      <color indexed="23"/>
      <name val="Lucida Sans"/>
      <family val="2"/>
    </font>
    <font>
      <b/>
      <sz val="15"/>
      <color indexed="23"/>
      <name val="Arial"/>
      <family val="2"/>
    </font>
    <font>
      <b/>
      <sz val="13"/>
      <color indexed="23"/>
      <name val="Arial"/>
      <family val="2"/>
    </font>
    <font>
      <b/>
      <sz val="11"/>
      <color indexed="23"/>
      <name val="Arial"/>
      <family val="2"/>
    </font>
    <font>
      <sz val="12"/>
      <color indexed="17"/>
      <name val="Arial"/>
      <family val="2"/>
    </font>
    <font>
      <sz val="12"/>
      <color indexed="20"/>
      <name val="Arial"/>
      <family val="2"/>
    </font>
    <font>
      <sz val="12"/>
      <color indexed="60"/>
      <name val="Arial"/>
      <family val="2"/>
    </font>
    <font>
      <b/>
      <sz val="12"/>
      <color indexed="52"/>
      <name val="Arial"/>
      <family val="2"/>
    </font>
    <font>
      <sz val="12"/>
      <color indexed="52"/>
      <name val="Arial"/>
      <family val="2"/>
    </font>
    <font>
      <b/>
      <sz val="12"/>
      <color indexed="9"/>
      <name val="Arial"/>
      <family val="2"/>
    </font>
    <font>
      <i/>
      <sz val="12"/>
      <color indexed="23"/>
      <name val="Arial"/>
      <family val="2"/>
    </font>
    <font>
      <sz val="12"/>
      <color indexed="9"/>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Lucida Sans"/>
      <family val="2"/>
    </font>
    <font>
      <b/>
      <sz val="12"/>
      <color theme="1"/>
      <name val="Arial"/>
      <family val="2"/>
    </font>
    <font>
      <sz val="12"/>
      <color rgb="FFFF0000"/>
      <name val="Arial"/>
      <family val="2"/>
    </font>
    <font>
      <sz val="14"/>
      <color theme="1"/>
      <name val="Arial"/>
      <family val="2"/>
    </font>
    <font>
      <b/>
      <sz val="12"/>
      <color rgb="FFFF0000"/>
      <name val="Arial"/>
      <family val="2"/>
    </font>
    <font>
      <b/>
      <sz val="12"/>
      <color rgb="FF333333"/>
      <name val="Arial"/>
      <family val="2"/>
    </font>
    <font>
      <sz val="12"/>
      <color rgb="FF333333"/>
      <name val="Arial"/>
      <family val="2"/>
    </font>
    <font>
      <sz val="9.6"/>
      <color rgb="FF333333"/>
      <name val="Arial"/>
      <family val="2"/>
    </font>
    <font>
      <b/>
      <u val="single"/>
      <sz val="20"/>
      <color theme="10"/>
      <name val="Arial"/>
      <family val="2"/>
    </font>
    <font>
      <b/>
      <sz val="11"/>
      <color rgb="FF00B050"/>
      <name val="Arial"/>
      <family val="2"/>
    </font>
    <font>
      <u val="single"/>
      <sz val="14"/>
      <color theme="10"/>
      <name val="Arial"/>
      <family val="2"/>
    </font>
    <font>
      <b/>
      <sz val="12"/>
      <color rgb="FF000000"/>
      <name val="Arial"/>
      <family val="2"/>
    </font>
    <font>
      <b/>
      <u val="single"/>
      <sz val="14"/>
      <color theme="10"/>
      <name val="Arial"/>
      <family val="2"/>
    </font>
    <font>
      <b/>
      <u val="single"/>
      <sz val="12"/>
      <color theme="10"/>
      <name val="Arial"/>
      <family val="2"/>
    </font>
    <font>
      <b/>
      <sz val="14"/>
      <color theme="1"/>
      <name val="Arial"/>
      <family val="2"/>
    </font>
    <font>
      <sz val="10"/>
      <color theme="1"/>
      <name val="Arial"/>
      <family val="2"/>
    </font>
    <font>
      <sz val="9"/>
      <color rgb="FF1F2C9A"/>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DDD"/>
        <bgColor indexed="64"/>
      </patternFill>
    </fill>
    <fill>
      <patternFill patternType="solid">
        <fgColor rgb="FFFFFFFF"/>
        <bgColor indexed="64"/>
      </patternFill>
    </fill>
    <fill>
      <patternFill patternType="solid">
        <fgColor theme="0"/>
        <bgColor indexed="64"/>
      </patternFill>
    </fill>
    <fill>
      <patternFill patternType="solid">
        <fgColor rgb="FFEEEFEF"/>
        <bgColor indexed="64"/>
      </patternFill>
    </fill>
    <fill>
      <patternFill patternType="solid">
        <fgColor rgb="FFFFEEDD"/>
        <bgColor indexed="64"/>
      </patternFill>
    </fill>
    <fill>
      <patternFill patternType="solid">
        <fgColor rgb="FFEEEEEE"/>
        <bgColor indexed="64"/>
      </patternFill>
    </fill>
    <fill>
      <patternFill patternType="solid">
        <fgColor rgb="FFFFFF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top/>
      <bottom/>
    </border>
    <border>
      <left/>
      <right/>
      <top style="thin">
        <color rgb="FF000000"/>
      </top>
      <bottom/>
    </border>
    <border>
      <left style="thin"/>
      <right style="thin"/>
      <top style="thin"/>
      <bottom style="thin"/>
    </border>
    <border>
      <left style="medium"/>
      <right/>
      <top/>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medium"/>
    </border>
    <border>
      <left/>
      <right/>
      <top/>
      <bottom style="medium"/>
    </border>
    <border>
      <left style="medium"/>
      <right/>
      <top/>
      <bottom style="medium"/>
    </border>
    <border>
      <left style="medium"/>
      <right/>
      <top style="medium"/>
      <bottom/>
    </border>
    <border>
      <left/>
      <right/>
      <top style="medium"/>
      <bottom/>
    </border>
    <border>
      <left style="medium"/>
      <right style="thick"/>
      <top style="medium"/>
      <bottom style="medium"/>
    </border>
    <border>
      <left style="thin"/>
      <right/>
      <top style="thin"/>
      <bottom style="thin"/>
    </border>
    <border>
      <left style="thin"/>
      <right/>
      <top style="thin"/>
      <bottom style="medium"/>
    </border>
    <border>
      <left/>
      <right style="medium"/>
      <top/>
      <bottom style="medium"/>
    </border>
    <border>
      <left/>
      <right style="medium"/>
      <top/>
      <bottom/>
    </border>
    <border>
      <left style="thin"/>
      <right style="thin"/>
      <top/>
      <bottom style="medium"/>
    </border>
    <border>
      <left style="thin"/>
      <right/>
      <top/>
      <bottom style="medium"/>
    </border>
    <border>
      <left style="thin"/>
      <right/>
      <top style="medium"/>
      <bottom style="thin"/>
    </border>
    <border>
      <left style="medium"/>
      <right style="medium"/>
      <top/>
      <bottom style="medium"/>
    </border>
    <border>
      <left/>
      <right style="medium"/>
      <top style="medium"/>
      <bottom/>
    </border>
    <border>
      <left style="thin"/>
      <right style="thin"/>
      <top/>
      <bottom style="thin"/>
    </border>
    <border>
      <left style="thick"/>
      <right style="thick"/>
      <top style="medium"/>
      <bottom style="medium"/>
    </border>
    <border>
      <left style="medium">
        <color rgb="FF000000"/>
      </left>
      <right style="medium">
        <color rgb="FF000000"/>
      </right>
      <top/>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medium"/>
    </border>
    <border>
      <left style="thick"/>
      <right/>
      <top style="medium"/>
      <bottom style="medium"/>
    </border>
    <border>
      <left style="medium"/>
      <right style="medium"/>
      <top style="medium"/>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right/>
      <top style="medium"/>
      <bottom style="medium"/>
    </border>
    <border>
      <left style="thick"/>
      <right style="medium"/>
      <top style="medium"/>
      <bottom style="medium"/>
    </border>
    <border>
      <left style="medium">
        <color rgb="FF000000"/>
      </left>
      <right/>
      <top/>
      <bottom style="medium">
        <color rgb="FF00000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border>
    <border>
      <left/>
      <right style="medium"/>
      <top style="medium"/>
      <bottom style="medium"/>
    </border>
    <border>
      <left style="medium"/>
      <right/>
      <top style="medium"/>
      <bottom style="medium"/>
    </border>
    <border>
      <left style="thin"/>
      <right style="medium"/>
      <top style="medium"/>
      <bottom/>
    </border>
    <border>
      <left style="thin"/>
      <right style="medium"/>
      <top/>
      <bottom/>
    </border>
    <border>
      <left style="medium"/>
      <right/>
      <top style="medium"/>
      <bottom style="thin"/>
    </border>
    <border>
      <left style="thin"/>
      <right/>
      <top/>
      <bottom style="thin"/>
    </border>
    <border>
      <left style="medium">
        <color rgb="FF000000"/>
      </left>
      <right/>
      <top/>
      <bottom/>
    </border>
    <border>
      <left style="medium"/>
      <right style="medium"/>
      <top style="medium"/>
      <bottom/>
    </border>
    <border>
      <left/>
      <right/>
      <top/>
      <bottom style="medium">
        <color rgb="FF000000"/>
      </bottom>
    </border>
    <border>
      <left/>
      <right/>
      <top style="medium">
        <color rgb="FF000000"/>
      </top>
      <bottom/>
    </border>
    <border>
      <left/>
      <right style="medium">
        <color rgb="FF000000"/>
      </right>
      <top/>
      <bottom/>
    </border>
    <border>
      <left style="thin">
        <color rgb="FF000000"/>
      </left>
      <right/>
      <top style="thin">
        <color rgb="FF000000"/>
      </top>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double"/>
      <right/>
      <top style="double"/>
      <bottom/>
    </border>
    <border>
      <left/>
      <right style="double"/>
      <top style="double"/>
      <bottom/>
    </border>
    <border>
      <left style="thin"/>
      <right style="medium"/>
      <top style="thin"/>
      <bottom style="thin"/>
    </border>
    <border>
      <left style="thin"/>
      <right style="medium"/>
      <top style="thin"/>
      <bottom style="medium"/>
    </border>
    <border>
      <left style="medium">
        <color rgb="FFDDDDDD"/>
      </left>
      <right style="medium">
        <color rgb="FFDDDDDD"/>
      </right>
      <top style="medium">
        <color rgb="FFDDDDDD"/>
      </top>
      <bottom style="medium">
        <color rgb="FFDDDDDD"/>
      </bottom>
    </border>
    <border>
      <left style="thin"/>
      <right style="medium"/>
      <top style="medium"/>
      <bottom style="thin"/>
    </border>
    <border>
      <left/>
      <right/>
      <top style="thin"/>
      <bottom/>
    </border>
    <border>
      <left/>
      <right style="thin"/>
      <top style="thin"/>
      <bottom style="thin"/>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double"/>
      <bottom/>
    </border>
    <border>
      <left/>
      <right/>
      <top/>
      <bottom style="double"/>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5"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165" fontId="3" fillId="0" borderId="0">
      <alignment/>
      <protection/>
    </xf>
    <xf numFmtId="165" fontId="3" fillId="0" borderId="0">
      <alignment/>
      <protection/>
    </xf>
    <xf numFmtId="165" fontId="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40">
    <xf numFmtId="0" fontId="0" fillId="0" borderId="0" xfId="0" applyAlignment="1">
      <alignment/>
    </xf>
    <xf numFmtId="0" fontId="3" fillId="0" borderId="0" xfId="0" applyNumberFormat="1" applyFont="1" applyFill="1" applyBorder="1" applyAlignment="1" applyProtection="1">
      <alignment/>
      <protection/>
    </xf>
    <xf numFmtId="0" fontId="0" fillId="0" borderId="0" xfId="0" applyAlignment="1">
      <alignment/>
    </xf>
    <xf numFmtId="0" fontId="0" fillId="0" borderId="0" xfId="0" applyAlignment="1">
      <alignment horizontal="center"/>
    </xf>
    <xf numFmtId="0" fontId="3" fillId="0" borderId="0" xfId="0" applyNumberFormat="1" applyFont="1" applyFill="1" applyBorder="1" applyAlignment="1" applyProtection="1">
      <alignment horizontal="center"/>
      <protection/>
    </xf>
    <xf numFmtId="0" fontId="3" fillId="0" borderId="10" xfId="0" applyNumberFormat="1" applyFont="1" applyFill="1" applyBorder="1" applyAlignment="1" applyProtection="1">
      <alignment/>
      <protection/>
    </xf>
    <xf numFmtId="3" fontId="3" fillId="0" borderId="0" xfId="0" applyNumberFormat="1" applyFont="1" applyFill="1" applyBorder="1" applyAlignment="1" applyProtection="1">
      <alignment horizontal="center" vertical="top" wrapText="1"/>
      <protection/>
    </xf>
    <xf numFmtId="3"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wrapText="1"/>
      <protection/>
    </xf>
    <xf numFmtId="0" fontId="0" fillId="0" borderId="0" xfId="0" applyAlignment="1">
      <alignment wrapText="1"/>
    </xf>
    <xf numFmtId="0" fontId="3" fillId="0" borderId="11" xfId="0" applyNumberFormat="1" applyFont="1" applyFill="1" applyBorder="1" applyAlignment="1" applyProtection="1">
      <alignment horizontal="center" wrapText="1"/>
      <protection/>
    </xf>
    <xf numFmtId="0" fontId="3" fillId="0" borderId="11" xfId="0" applyNumberFormat="1" applyFont="1" applyFill="1" applyBorder="1" applyAlignment="1" applyProtection="1">
      <alignment horizontal="right" wrapText="1"/>
      <protection/>
    </xf>
    <xf numFmtId="0" fontId="3" fillId="33" borderId="11" xfId="0" applyNumberFormat="1" applyFont="1" applyFill="1" applyBorder="1" applyAlignment="1" applyProtection="1">
      <alignment horizontal="right" wrapText="1"/>
      <protection/>
    </xf>
    <xf numFmtId="0" fontId="0" fillId="0" borderId="0" xfId="0" applyBorder="1" applyAlignment="1">
      <alignment/>
    </xf>
    <xf numFmtId="0" fontId="58" fillId="0" borderId="0" xfId="0" applyFont="1" applyBorder="1" applyAlignment="1">
      <alignment horizontal="right"/>
    </xf>
    <xf numFmtId="0" fontId="2" fillId="0" borderId="12" xfId="0" applyNumberFormat="1" applyFont="1" applyFill="1" applyBorder="1" applyAlignment="1" applyProtection="1">
      <alignment horizontal="center"/>
      <protection/>
    </xf>
    <xf numFmtId="0" fontId="8" fillId="0" borderId="12" xfId="0" applyNumberFormat="1" applyFont="1" applyFill="1" applyBorder="1" applyAlignment="1" applyProtection="1">
      <alignment horizontal="center"/>
      <protection/>
    </xf>
    <xf numFmtId="0" fontId="0" fillId="0" borderId="0" xfId="0" applyAlignment="1">
      <alignment wrapText="1"/>
    </xf>
    <xf numFmtId="0" fontId="2" fillId="0" borderId="13" xfId="0" applyNumberFormat="1" applyFont="1" applyFill="1" applyBorder="1" applyAlignment="1" applyProtection="1">
      <alignment horizontal="right"/>
      <protection/>
    </xf>
    <xf numFmtId="3" fontId="2" fillId="34" borderId="13" xfId="0" applyNumberFormat="1" applyFont="1" applyFill="1" applyBorder="1" applyAlignment="1" applyProtection="1">
      <alignment horizontal="center"/>
      <protection/>
    </xf>
    <xf numFmtId="3" fontId="2" fillId="34" borderId="0" xfId="0" applyNumberFormat="1" applyFont="1" applyFill="1" applyBorder="1" applyAlignment="1" applyProtection="1">
      <alignment horizontal="center"/>
      <protection/>
    </xf>
    <xf numFmtId="0" fontId="0" fillId="0" borderId="0" xfId="0" applyAlignment="1">
      <alignment wrapText="1"/>
    </xf>
    <xf numFmtId="0" fontId="12" fillId="0" borderId="0" xfId="0" applyFont="1" applyAlignment="1">
      <alignment/>
    </xf>
    <xf numFmtId="0" fontId="0" fillId="0" borderId="0" xfId="0" applyAlignment="1">
      <alignment/>
    </xf>
    <xf numFmtId="0" fontId="0" fillId="0" borderId="0" xfId="0" applyBorder="1" applyAlignment="1">
      <alignment vertical="center"/>
    </xf>
    <xf numFmtId="0" fontId="3" fillId="0" borderId="0" xfId="0" applyNumberFormat="1" applyFont="1" applyFill="1" applyBorder="1" applyAlignment="1" applyProtection="1">
      <alignment horizontal="center"/>
      <protection/>
    </xf>
    <xf numFmtId="0" fontId="60" fillId="0" borderId="0" xfId="0" applyFont="1" applyAlignment="1">
      <alignment wrapText="1"/>
    </xf>
    <xf numFmtId="167" fontId="2" fillId="34" borderId="12" xfId="0" applyNumberFormat="1" applyFont="1" applyFill="1" applyBorder="1" applyAlignment="1" applyProtection="1">
      <alignment horizontal="center"/>
      <protection/>
    </xf>
    <xf numFmtId="0" fontId="0" fillId="0" borderId="0" xfId="0" applyBorder="1" applyAlignment="1">
      <alignment wrapText="1"/>
    </xf>
    <xf numFmtId="0" fontId="0" fillId="0" borderId="0" xfId="0" applyFont="1" applyAlignment="1">
      <alignment wrapText="1"/>
    </xf>
    <xf numFmtId="0" fontId="0" fillId="0" borderId="0" xfId="0" applyFont="1" applyAlignment="1">
      <alignment horizontal="left" vertical="top" wrapText="1"/>
    </xf>
    <xf numFmtId="0" fontId="58" fillId="0" borderId="14" xfId="0" applyFont="1" applyBorder="1" applyAlignment="1">
      <alignment horizontal="center" wrapText="1"/>
    </xf>
    <xf numFmtId="0" fontId="8" fillId="0" borderId="15" xfId="0" applyFont="1" applyBorder="1" applyAlignment="1">
      <alignment horizontal="center"/>
    </xf>
    <xf numFmtId="0" fontId="58" fillId="0" borderId="15" xfId="0" applyFont="1" applyBorder="1" applyAlignment="1">
      <alignment horizontal="center"/>
    </xf>
    <xf numFmtId="167" fontId="2" fillId="34" borderId="16" xfId="0" applyNumberFormat="1" applyFont="1" applyFill="1" applyBorder="1" applyAlignment="1" applyProtection="1">
      <alignment horizontal="center"/>
      <protection/>
    </xf>
    <xf numFmtId="167" fontId="2" fillId="34" borderId="17" xfId="0" applyNumberFormat="1" applyFont="1" applyFill="1" applyBorder="1" applyAlignment="1" applyProtection="1">
      <alignment horizontal="center"/>
      <protection/>
    </xf>
    <xf numFmtId="0" fontId="52" fillId="0" borderId="0" xfId="52" applyAlignment="1" applyProtection="1">
      <alignment/>
      <protection/>
    </xf>
    <xf numFmtId="3" fontId="8" fillId="34" borderId="18" xfId="0" applyNumberFormat="1" applyFont="1" applyFill="1" applyBorder="1" applyAlignment="1" applyProtection="1">
      <alignment horizontal="left"/>
      <protection/>
    </xf>
    <xf numFmtId="0" fontId="0" fillId="0" borderId="19" xfId="0" applyBorder="1" applyAlignment="1">
      <alignment wrapText="1"/>
    </xf>
    <xf numFmtId="3" fontId="8" fillId="34" borderId="0" xfId="0" applyNumberFormat="1" applyFont="1" applyFill="1" applyBorder="1" applyAlignment="1" applyProtection="1">
      <alignment horizontal="left"/>
      <protection/>
    </xf>
    <xf numFmtId="0" fontId="58" fillId="0" borderId="20" xfId="0" applyFont="1" applyBorder="1" applyAlignment="1">
      <alignment horizontal="left" indent="2"/>
    </xf>
    <xf numFmtId="0" fontId="58" fillId="0" borderId="13" xfId="0" applyFont="1" applyBorder="1" applyAlignment="1">
      <alignment horizontal="left" indent="2"/>
    </xf>
    <xf numFmtId="3" fontId="2" fillId="34" borderId="19" xfId="0" applyNumberFormat="1" applyFont="1" applyFill="1" applyBorder="1" applyAlignment="1" applyProtection="1">
      <alignment horizontal="center"/>
      <protection/>
    </xf>
    <xf numFmtId="3" fontId="2" fillId="34" borderId="18" xfId="0" applyNumberFormat="1" applyFont="1" applyFill="1" applyBorder="1" applyAlignment="1" applyProtection="1">
      <alignment horizontal="center"/>
      <protection/>
    </xf>
    <xf numFmtId="3" fontId="2" fillId="34" borderId="21" xfId="0" applyNumberFormat="1" applyFont="1" applyFill="1" applyBorder="1" applyAlignment="1" applyProtection="1">
      <alignment horizontal="center"/>
      <protection/>
    </xf>
    <xf numFmtId="0" fontId="58" fillId="0" borderId="19" xfId="0" applyFont="1" applyBorder="1" applyAlignment="1">
      <alignment horizontal="left" indent="2"/>
    </xf>
    <xf numFmtId="3" fontId="8" fillId="34" borderId="13" xfId="0" applyNumberFormat="1" applyFont="1" applyFill="1" applyBorder="1" applyAlignment="1" applyProtection="1">
      <alignment horizontal="right"/>
      <protection/>
    </xf>
    <xf numFmtId="3" fontId="8" fillId="34" borderId="0" xfId="0" applyNumberFormat="1" applyFont="1" applyFill="1" applyBorder="1" applyAlignment="1" applyProtection="1">
      <alignment horizontal="right"/>
      <protection/>
    </xf>
    <xf numFmtId="3" fontId="8" fillId="34" borderId="19" xfId="0" applyNumberFormat="1" applyFont="1" applyFill="1" applyBorder="1" applyAlignment="1" applyProtection="1">
      <alignment horizontal="right"/>
      <protection/>
    </xf>
    <xf numFmtId="3" fontId="8" fillId="34" borderId="20" xfId="0" applyNumberFormat="1" applyFont="1" applyFill="1" applyBorder="1" applyAlignment="1" applyProtection="1">
      <alignment horizontal="right"/>
      <protection/>
    </xf>
    <xf numFmtId="3" fontId="8" fillId="34" borderId="21" xfId="0" applyNumberFormat="1" applyFont="1" applyFill="1" applyBorder="1" applyAlignment="1" applyProtection="1">
      <alignment horizontal="right"/>
      <protection/>
    </xf>
    <xf numFmtId="167" fontId="5" fillId="35" borderId="12" xfId="0" applyNumberFormat="1" applyFont="1" applyFill="1" applyBorder="1" applyAlignment="1" applyProtection="1">
      <alignment horizontal="right"/>
      <protection/>
    </xf>
    <xf numFmtId="167" fontId="5" fillId="0" borderId="12" xfId="0" applyNumberFormat="1" applyFont="1" applyFill="1" applyBorder="1" applyAlignment="1" applyProtection="1">
      <alignment/>
      <protection/>
    </xf>
    <xf numFmtId="4" fontId="0" fillId="0" borderId="0" xfId="0" applyNumberFormat="1" applyAlignment="1">
      <alignment/>
    </xf>
    <xf numFmtId="1" fontId="5" fillId="34" borderId="22"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protection/>
    </xf>
    <xf numFmtId="0" fontId="0" fillId="0" borderId="0" xfId="0" applyFill="1" applyBorder="1" applyAlignment="1">
      <alignment horizontal="center"/>
    </xf>
    <xf numFmtId="167" fontId="2" fillId="34" borderId="23" xfId="0" applyNumberFormat="1" applyFont="1" applyFill="1" applyBorder="1" applyAlignment="1" applyProtection="1">
      <alignment horizontal="center"/>
      <protection/>
    </xf>
    <xf numFmtId="167" fontId="2" fillId="34" borderId="24" xfId="0" applyNumberFormat="1" applyFont="1" applyFill="1" applyBorder="1" applyAlignment="1" applyProtection="1">
      <alignment horizontal="center"/>
      <protection/>
    </xf>
    <xf numFmtId="0" fontId="2" fillId="0" borderId="19" xfId="0" applyNumberFormat="1" applyFont="1" applyFill="1" applyBorder="1" applyAlignment="1" applyProtection="1">
      <alignment horizontal="right"/>
      <protection/>
    </xf>
    <xf numFmtId="1" fontId="2" fillId="34" borderId="25" xfId="0" applyNumberFormat="1" applyFont="1" applyFill="1" applyBorder="1" applyAlignment="1" applyProtection="1">
      <alignment horizontal="center"/>
      <protection/>
    </xf>
    <xf numFmtId="0" fontId="0" fillId="0" borderId="21" xfId="0" applyBorder="1" applyAlignment="1">
      <alignment wrapText="1"/>
    </xf>
    <xf numFmtId="0" fontId="0" fillId="0" borderId="13" xfId="0" applyBorder="1" applyAlignment="1">
      <alignment wrapText="1"/>
    </xf>
    <xf numFmtId="0" fontId="58" fillId="0" borderId="21" xfId="0" applyFont="1" applyBorder="1" applyAlignment="1">
      <alignment horizontal="left" indent="2"/>
    </xf>
    <xf numFmtId="0" fontId="58" fillId="0" borderId="0" xfId="0" applyFont="1" applyBorder="1" applyAlignment="1">
      <alignment horizontal="left" indent="2"/>
    </xf>
    <xf numFmtId="0" fontId="58" fillId="0" borderId="18" xfId="0" applyFont="1" applyBorder="1" applyAlignment="1">
      <alignment horizontal="left" indent="2"/>
    </xf>
    <xf numFmtId="1" fontId="2" fillId="34" borderId="26" xfId="0" applyNumberFormat="1" applyFont="1" applyFill="1" applyBorder="1" applyAlignment="1" applyProtection="1">
      <alignment horizontal="center"/>
      <protection/>
    </xf>
    <xf numFmtId="167" fontId="2" fillId="34" borderId="27" xfId="0" applyNumberFormat="1" applyFont="1" applyFill="1" applyBorder="1" applyAlignment="1" applyProtection="1">
      <alignment horizontal="center"/>
      <protection/>
    </xf>
    <xf numFmtId="167" fontId="2" fillId="34" borderId="28" xfId="0" applyNumberFormat="1" applyFont="1" applyFill="1" applyBorder="1" applyAlignment="1" applyProtection="1">
      <alignment horizontal="center"/>
      <protection/>
    </xf>
    <xf numFmtId="167" fontId="2" fillId="34" borderId="29" xfId="0" applyNumberFormat="1" applyFont="1" applyFill="1" applyBorder="1" applyAlignment="1" applyProtection="1">
      <alignment horizontal="center"/>
      <protection/>
    </xf>
    <xf numFmtId="0" fontId="61" fillId="0" borderId="30" xfId="0" applyFont="1" applyBorder="1" applyAlignment="1" applyProtection="1">
      <alignment horizontal="center"/>
      <protection locked="0"/>
    </xf>
    <xf numFmtId="3" fontId="61" fillId="34" borderId="31" xfId="0" applyNumberFormat="1" applyFont="1" applyFill="1" applyBorder="1" applyAlignment="1" applyProtection="1">
      <alignment horizontal="right"/>
      <protection/>
    </xf>
    <xf numFmtId="3" fontId="61" fillId="34" borderId="26" xfId="0" applyNumberFormat="1" applyFont="1" applyFill="1" applyBorder="1" applyAlignment="1" applyProtection="1">
      <alignment horizontal="right"/>
      <protection/>
    </xf>
    <xf numFmtId="0" fontId="61" fillId="0" borderId="26" xfId="0" applyFont="1" applyBorder="1" applyAlignment="1">
      <alignment horizontal="right"/>
    </xf>
    <xf numFmtId="3" fontId="61" fillId="34" borderId="25" xfId="0" applyNumberFormat="1" applyFont="1" applyFill="1" applyBorder="1" applyAlignment="1" applyProtection="1">
      <alignment horizontal="right"/>
      <protection/>
    </xf>
    <xf numFmtId="0" fontId="61" fillId="0" borderId="19" xfId="0" applyNumberFormat="1" applyFont="1" applyFill="1" applyBorder="1" applyAlignment="1" applyProtection="1">
      <alignment horizontal="right"/>
      <protection/>
    </xf>
    <xf numFmtId="167" fontId="5" fillId="35" borderId="32" xfId="0" applyNumberFormat="1" applyFont="1" applyFill="1" applyBorder="1" applyAlignment="1" applyProtection="1">
      <alignment horizontal="right"/>
      <protection/>
    </xf>
    <xf numFmtId="3" fontId="5" fillId="34" borderId="33" xfId="0" applyNumberFormat="1" applyFont="1" applyFill="1" applyBorder="1" applyAlignment="1" applyProtection="1">
      <alignment horizontal="center" vertical="center" wrapText="1"/>
      <protection/>
    </xf>
    <xf numFmtId="0" fontId="58" fillId="0" borderId="0" xfId="0" applyFont="1" applyAlignment="1">
      <alignment/>
    </xf>
    <xf numFmtId="0" fontId="0" fillId="0" borderId="0" xfId="0" applyAlignment="1">
      <alignment horizontal="center" vertical="top"/>
    </xf>
    <xf numFmtId="0" fontId="0" fillId="0" borderId="0" xfId="0" applyAlignment="1">
      <alignment horizontal="left" vertical="top"/>
    </xf>
    <xf numFmtId="0" fontId="62" fillId="0" borderId="0" xfId="0" applyFont="1" applyAlignment="1">
      <alignment horizontal="left" vertical="top"/>
    </xf>
    <xf numFmtId="0" fontId="52" fillId="0" borderId="0" xfId="52" applyAlignment="1" applyProtection="1">
      <alignment horizontal="left" vertical="top"/>
      <protection/>
    </xf>
    <xf numFmtId="0" fontId="62" fillId="0" borderId="34" xfId="0" applyFont="1" applyBorder="1" applyAlignment="1">
      <alignment horizontal="center" vertical="top" wrapText="1"/>
    </xf>
    <xf numFmtId="0" fontId="63" fillId="36" borderId="35" xfId="0" applyFont="1" applyFill="1" applyBorder="1" applyAlignment="1">
      <alignment horizontal="center" vertical="top" wrapText="1"/>
    </xf>
    <xf numFmtId="0" fontId="63" fillId="36" borderId="35" xfId="0" applyFont="1" applyFill="1" applyBorder="1" applyAlignment="1">
      <alignment horizontal="right" vertical="top" wrapText="1"/>
    </xf>
    <xf numFmtId="3" fontId="63" fillId="36" borderId="35" xfId="0" applyNumberFormat="1" applyFont="1" applyFill="1" applyBorder="1" applyAlignment="1">
      <alignment horizontal="right" vertical="top" wrapText="1"/>
    </xf>
    <xf numFmtId="0" fontId="63" fillId="0" borderId="35" xfId="0" applyFont="1" applyBorder="1" applyAlignment="1">
      <alignment horizontal="center" vertical="top" wrapText="1"/>
    </xf>
    <xf numFmtId="0" fontId="63" fillId="0" borderId="35" xfId="0" applyFont="1" applyBorder="1" applyAlignment="1">
      <alignment horizontal="right" vertical="top" wrapText="1"/>
    </xf>
    <xf numFmtId="3" fontId="63" fillId="0" borderId="35" xfId="0" applyNumberFormat="1" applyFont="1" applyBorder="1" applyAlignment="1">
      <alignment horizontal="right" vertical="top" wrapText="1"/>
    </xf>
    <xf numFmtId="0" fontId="64" fillId="0" borderId="0" xfId="0" applyFont="1" applyBorder="1" applyAlignment="1">
      <alignment horizontal="left" vertical="top" wrapText="1"/>
    </xf>
    <xf numFmtId="0" fontId="0" fillId="0" borderId="0" xfId="0" applyBorder="1" applyAlignment="1">
      <alignment vertical="top"/>
    </xf>
    <xf numFmtId="0" fontId="63" fillId="0" borderId="36" xfId="0" applyFont="1" applyBorder="1" applyAlignment="1">
      <alignment horizontal="center" vertical="top" wrapText="1"/>
    </xf>
    <xf numFmtId="0" fontId="63" fillId="0" borderId="36" xfId="0" applyFont="1" applyBorder="1" applyAlignment="1">
      <alignment horizontal="right" vertical="top" wrapText="1"/>
    </xf>
    <xf numFmtId="2" fontId="63" fillId="36" borderId="35" xfId="0" applyNumberFormat="1" applyFont="1" applyFill="1" applyBorder="1" applyAlignment="1">
      <alignment horizontal="right" vertical="top" wrapText="1"/>
    </xf>
    <xf numFmtId="2" fontId="63" fillId="0" borderId="35" xfId="0" applyNumberFormat="1" applyFont="1" applyBorder="1" applyAlignment="1">
      <alignment horizontal="right" vertical="top" wrapText="1"/>
    </xf>
    <xf numFmtId="2" fontId="63" fillId="0" borderId="36" xfId="0" applyNumberFormat="1" applyFont="1" applyBorder="1" applyAlignment="1">
      <alignment horizontal="right" vertical="top" wrapText="1"/>
    </xf>
    <xf numFmtId="168" fontId="63" fillId="36" borderId="35" xfId="0" applyNumberFormat="1" applyFont="1" applyFill="1" applyBorder="1" applyAlignment="1">
      <alignment horizontal="right" vertical="top" wrapText="1"/>
    </xf>
    <xf numFmtId="168" fontId="63" fillId="0" borderId="35" xfId="0" applyNumberFormat="1" applyFont="1" applyBorder="1" applyAlignment="1">
      <alignment horizontal="right" vertical="top" wrapText="1"/>
    </xf>
    <xf numFmtId="168" fontId="63" fillId="0" borderId="36" xfId="0" applyNumberFormat="1" applyFont="1" applyBorder="1" applyAlignment="1">
      <alignment horizontal="right" vertical="top" wrapText="1"/>
    </xf>
    <xf numFmtId="0" fontId="58" fillId="0" borderId="37" xfId="0" applyFont="1" applyBorder="1" applyAlignment="1">
      <alignment horizontal="center"/>
    </xf>
    <xf numFmtId="0" fontId="58" fillId="0" borderId="38" xfId="0" applyFont="1" applyBorder="1" applyAlignment="1">
      <alignment horizontal="center"/>
    </xf>
    <xf numFmtId="0" fontId="58" fillId="0" borderId="39" xfId="0" applyFont="1" applyBorder="1" applyAlignment="1">
      <alignment horizontal="center"/>
    </xf>
    <xf numFmtId="3" fontId="8" fillId="34" borderId="40" xfId="0" applyNumberFormat="1" applyFont="1" applyFill="1" applyBorder="1" applyAlignment="1" applyProtection="1">
      <alignment horizontal="center"/>
      <protection/>
    </xf>
    <xf numFmtId="0" fontId="58" fillId="0" borderId="31" xfId="0" applyFont="1" applyBorder="1" applyAlignment="1">
      <alignment horizontal="left" indent="2"/>
    </xf>
    <xf numFmtId="0" fontId="58" fillId="0" borderId="26" xfId="0" applyFont="1" applyBorder="1" applyAlignment="1">
      <alignment horizontal="left" indent="2"/>
    </xf>
    <xf numFmtId="0" fontId="58" fillId="0" borderId="25" xfId="0" applyFont="1" applyBorder="1" applyAlignment="1">
      <alignment horizontal="left" indent="2"/>
    </xf>
    <xf numFmtId="1" fontId="2" fillId="34" borderId="20" xfId="0" applyNumberFormat="1" applyFont="1" applyFill="1" applyBorder="1" applyAlignment="1" applyProtection="1">
      <alignment horizontal="center"/>
      <protection/>
    </xf>
    <xf numFmtId="0" fontId="59" fillId="0" borderId="0" xfId="0" applyFont="1" applyAlignment="1">
      <alignment/>
    </xf>
    <xf numFmtId="3" fontId="2" fillId="34" borderId="20" xfId="0" applyNumberFormat="1" applyFont="1" applyFill="1" applyBorder="1" applyAlignment="1" applyProtection="1">
      <alignment horizontal="center"/>
      <protection/>
    </xf>
    <xf numFmtId="3" fontId="2" fillId="34" borderId="31" xfId="0" applyNumberFormat="1" applyFont="1" applyFill="1" applyBorder="1" applyAlignment="1" applyProtection="1">
      <alignment horizontal="center"/>
      <protection/>
    </xf>
    <xf numFmtId="0" fontId="0" fillId="0" borderId="0" xfId="0" applyAlignment="1">
      <alignment wrapText="1"/>
    </xf>
    <xf numFmtId="0" fontId="65" fillId="0" borderId="0" xfId="52" applyFont="1" applyAlignment="1" applyProtection="1">
      <alignment vertical="center"/>
      <protection/>
    </xf>
    <xf numFmtId="0" fontId="0" fillId="0" borderId="0" xfId="0" applyAlignment="1">
      <alignment/>
    </xf>
    <xf numFmtId="0" fontId="0" fillId="0" borderId="0" xfId="0" applyAlignment="1">
      <alignment vertical="top"/>
    </xf>
    <xf numFmtId="1" fontId="5" fillId="0" borderId="12" xfId="60" applyNumberFormat="1" applyFont="1" applyBorder="1" applyAlignment="1">
      <alignment horizontal="center" wrapText="1"/>
      <protection/>
    </xf>
    <xf numFmtId="1" fontId="5" fillId="35" borderId="12" xfId="0" applyNumberFormat="1" applyFont="1" applyFill="1" applyBorder="1" applyAlignment="1" applyProtection="1">
      <alignment horizontal="center"/>
      <protection/>
    </xf>
    <xf numFmtId="167" fontId="5" fillId="0" borderId="12" xfId="0" applyNumberFormat="1" applyFont="1" applyFill="1" applyBorder="1" applyAlignment="1" applyProtection="1">
      <alignment horizontal="right"/>
      <protection/>
    </xf>
    <xf numFmtId="167" fontId="66" fillId="0" borderId="12" xfId="0" applyNumberFormat="1" applyFont="1" applyFill="1" applyBorder="1" applyAlignment="1" applyProtection="1">
      <alignment/>
      <protection/>
    </xf>
    <xf numFmtId="10" fontId="66" fillId="35" borderId="12" xfId="0" applyNumberFormat="1" applyFont="1" applyFill="1" applyBorder="1" applyAlignment="1" applyProtection="1">
      <alignment horizontal="center"/>
      <protection/>
    </xf>
    <xf numFmtId="1" fontId="5" fillId="0" borderId="32" xfId="60" applyNumberFormat="1" applyFont="1" applyBorder="1" applyAlignment="1">
      <alignment horizontal="center" wrapText="1"/>
      <protection/>
    </xf>
    <xf numFmtId="1" fontId="5" fillId="35" borderId="32" xfId="0" applyNumberFormat="1" applyFont="1" applyFill="1" applyBorder="1" applyAlignment="1" applyProtection="1">
      <alignment horizontal="center"/>
      <protection/>
    </xf>
    <xf numFmtId="167" fontId="5" fillId="0" borderId="32" xfId="0" applyNumberFormat="1" applyFont="1" applyFill="1" applyBorder="1" applyAlignment="1" applyProtection="1">
      <alignment/>
      <protection/>
    </xf>
    <xf numFmtId="167" fontId="5" fillId="0" borderId="32" xfId="0" applyNumberFormat="1" applyFont="1" applyFill="1" applyBorder="1" applyAlignment="1" applyProtection="1">
      <alignment horizontal="right"/>
      <protection/>
    </xf>
    <xf numFmtId="0" fontId="5" fillId="34" borderId="33" xfId="0" applyNumberFormat="1" applyFont="1" applyFill="1" applyBorder="1" applyAlignment="1" applyProtection="1">
      <alignment horizontal="center" vertical="center" wrapText="1"/>
      <protection/>
    </xf>
    <xf numFmtId="0" fontId="5" fillId="34" borderId="41" xfId="0" applyNumberFormat="1" applyFont="1" applyFill="1" applyBorder="1" applyAlignment="1" applyProtection="1">
      <alignment horizontal="center" vertical="center" wrapText="1"/>
      <protection/>
    </xf>
    <xf numFmtId="0" fontId="8" fillId="0" borderId="42" xfId="0" applyFont="1" applyBorder="1" applyAlignment="1">
      <alignment horizontal="center" vertical="center" wrapText="1"/>
    </xf>
    <xf numFmtId="10" fontId="5" fillId="0" borderId="32" xfId="0" applyNumberFormat="1" applyFont="1" applyFill="1" applyBorder="1" applyAlignment="1" applyProtection="1">
      <alignment horizontal="center"/>
      <protection/>
    </xf>
    <xf numFmtId="10" fontId="5" fillId="0" borderId="32" xfId="0" applyNumberFormat="1" applyFont="1" applyFill="1" applyBorder="1" applyAlignment="1" applyProtection="1">
      <alignment horizontal="center" wrapText="1"/>
      <protection/>
    </xf>
    <xf numFmtId="10" fontId="5" fillId="35" borderId="32" xfId="0" applyNumberFormat="1" applyFont="1" applyFill="1" applyBorder="1" applyAlignment="1" applyProtection="1">
      <alignment horizontal="center" wrapText="1"/>
      <protection/>
    </xf>
    <xf numFmtId="167" fontId="5" fillId="35" borderId="32" xfId="0" applyNumberFormat="1" applyFont="1" applyFill="1" applyBorder="1" applyAlignment="1" applyProtection="1">
      <alignment horizontal="center" wrapText="1"/>
      <protection/>
    </xf>
    <xf numFmtId="3" fontId="8" fillId="0" borderId="32" xfId="0" applyNumberFormat="1" applyFont="1" applyBorder="1" applyAlignment="1">
      <alignment horizontal="center"/>
    </xf>
    <xf numFmtId="10" fontId="5" fillId="0" borderId="12" xfId="0" applyNumberFormat="1" applyFont="1" applyFill="1" applyBorder="1" applyAlignment="1" applyProtection="1">
      <alignment horizontal="center"/>
      <protection/>
    </xf>
    <xf numFmtId="10" fontId="5" fillId="0" borderId="12" xfId="0" applyNumberFormat="1" applyFont="1" applyFill="1" applyBorder="1" applyAlignment="1" applyProtection="1">
      <alignment horizontal="center" wrapText="1"/>
      <protection/>
    </xf>
    <xf numFmtId="10" fontId="5" fillId="35" borderId="12" xfId="0" applyNumberFormat="1" applyFont="1" applyFill="1" applyBorder="1" applyAlignment="1" applyProtection="1">
      <alignment horizontal="center" wrapText="1"/>
      <protection/>
    </xf>
    <xf numFmtId="167" fontId="5" fillId="35" borderId="12" xfId="0" applyNumberFormat="1" applyFont="1" applyFill="1" applyBorder="1" applyAlignment="1" applyProtection="1">
      <alignment horizontal="center" wrapText="1"/>
      <protection/>
    </xf>
    <xf numFmtId="3" fontId="8" fillId="0" borderId="12" xfId="0" applyNumberFormat="1" applyFont="1" applyBorder="1" applyAlignment="1">
      <alignment horizontal="center"/>
    </xf>
    <xf numFmtId="167" fontId="5" fillId="35" borderId="12" xfId="0" applyNumberFormat="1" applyFont="1" applyFill="1" applyBorder="1" applyAlignment="1" applyProtection="1">
      <alignment horizontal="center"/>
      <protection/>
    </xf>
    <xf numFmtId="10" fontId="5" fillId="0" borderId="12" xfId="0" applyNumberFormat="1" applyFont="1" applyFill="1" applyBorder="1" applyAlignment="1" applyProtection="1">
      <alignment horizontal="center" vertical="top" wrapText="1"/>
      <protection/>
    </xf>
    <xf numFmtId="3" fontId="8" fillId="0" borderId="12" xfId="0" applyNumberFormat="1" applyFont="1" applyBorder="1" applyAlignment="1">
      <alignment horizontal="center" wrapText="1"/>
    </xf>
    <xf numFmtId="167" fontId="5" fillId="0" borderId="12" xfId="0" applyNumberFormat="1" applyFont="1" applyFill="1" applyBorder="1" applyAlignment="1" applyProtection="1">
      <alignment horizontal="center"/>
      <protection/>
    </xf>
    <xf numFmtId="0" fontId="67" fillId="0" borderId="0" xfId="52" applyFont="1" applyAlignment="1" applyProtection="1">
      <alignment/>
      <protection/>
    </xf>
    <xf numFmtId="0" fontId="0" fillId="37" borderId="0" xfId="0" applyFill="1" applyAlignment="1">
      <alignment horizontal="left" vertical="top"/>
    </xf>
    <xf numFmtId="38" fontId="68" fillId="0" borderId="37" xfId="0" applyNumberFormat="1" applyFont="1" applyBorder="1" applyAlignment="1">
      <alignment horizontal="center" vertical="center" wrapText="1"/>
    </xf>
    <xf numFmtId="38" fontId="68" fillId="0" borderId="38" xfId="0" applyNumberFormat="1" applyFont="1" applyBorder="1" applyAlignment="1">
      <alignment horizontal="center" vertical="center" wrapText="1"/>
    </xf>
    <xf numFmtId="38" fontId="68" fillId="0" borderId="39" xfId="0" applyNumberFormat="1" applyFont="1" applyBorder="1" applyAlignment="1">
      <alignment horizontal="center" vertical="center" wrapText="1"/>
    </xf>
    <xf numFmtId="0" fontId="62" fillId="0" borderId="43" xfId="0" applyFont="1" applyBorder="1" applyAlignment="1">
      <alignment horizontal="center" vertical="top"/>
    </xf>
    <xf numFmtId="2" fontId="63" fillId="36" borderId="44" xfId="0" applyNumberFormat="1" applyFont="1" applyFill="1" applyBorder="1" applyAlignment="1">
      <alignment horizontal="right" vertical="top" wrapText="1"/>
    </xf>
    <xf numFmtId="3" fontId="63" fillId="36" borderId="44" xfId="0" applyNumberFormat="1" applyFont="1" applyFill="1" applyBorder="1" applyAlignment="1">
      <alignment horizontal="right" vertical="top" wrapText="1"/>
    </xf>
    <xf numFmtId="0" fontId="5" fillId="35" borderId="45" xfId="0" applyNumberFormat="1" applyFont="1" applyFill="1" applyBorder="1" applyAlignment="1" applyProtection="1">
      <alignment horizontal="center" vertical="center" wrapText="1"/>
      <protection/>
    </xf>
    <xf numFmtId="3" fontId="5" fillId="34" borderId="45" xfId="0" applyNumberFormat="1" applyFont="1" applyFill="1" applyBorder="1" applyAlignment="1" applyProtection="1">
      <alignment horizontal="center" vertical="center" wrapText="1"/>
      <protection/>
    </xf>
    <xf numFmtId="3" fontId="7" fillId="34" borderId="45" xfId="0" applyNumberFormat="1" applyFont="1" applyFill="1" applyBorder="1" applyAlignment="1" applyProtection="1">
      <alignment horizontal="center" vertical="center" wrapText="1"/>
      <protection/>
    </xf>
    <xf numFmtId="0" fontId="5" fillId="35" borderId="33" xfId="0" applyNumberFormat="1" applyFont="1" applyFill="1" applyBorder="1" applyAlignment="1" applyProtection="1">
      <alignment horizontal="center" vertical="center" wrapText="1"/>
      <protection/>
    </xf>
    <xf numFmtId="3" fontId="7" fillId="34" borderId="33" xfId="0" applyNumberFormat="1" applyFont="1" applyFill="1" applyBorder="1" applyAlignment="1" applyProtection="1">
      <alignment horizontal="center" vertical="center" wrapText="1"/>
      <protection/>
    </xf>
    <xf numFmtId="0" fontId="5" fillId="35" borderId="46"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wrapText="1"/>
    </xf>
    <xf numFmtId="0" fontId="62" fillId="0" borderId="47" xfId="0" applyFont="1" applyBorder="1" applyAlignment="1">
      <alignment horizontal="center" vertical="top" wrapText="1"/>
    </xf>
    <xf numFmtId="0" fontId="0" fillId="0" borderId="0" xfId="0" applyAlignment="1">
      <alignment vertical="top" wrapText="1"/>
    </xf>
    <xf numFmtId="0" fontId="0" fillId="0" borderId="0" xfId="0" applyAlignment="1">
      <alignment/>
    </xf>
    <xf numFmtId="1" fontId="61" fillId="35" borderId="48" xfId="0" applyNumberFormat="1" applyFont="1" applyFill="1" applyBorder="1" applyAlignment="1" applyProtection="1">
      <alignment horizontal="center"/>
      <protection locked="0"/>
    </xf>
    <xf numFmtId="1" fontId="61" fillId="35" borderId="49" xfId="0" applyNumberFormat="1" applyFont="1" applyFill="1" applyBorder="1" applyAlignment="1" applyProtection="1">
      <alignment horizontal="center"/>
      <protection locked="0"/>
    </xf>
    <xf numFmtId="3" fontId="61" fillId="35" borderId="49" xfId="0" applyNumberFormat="1" applyFont="1" applyFill="1" applyBorder="1" applyAlignment="1" applyProtection="1">
      <alignment horizontal="center"/>
      <protection locked="0"/>
    </xf>
    <xf numFmtId="166" fontId="61" fillId="35" borderId="49" xfId="0" applyNumberFormat="1" applyFont="1" applyFill="1" applyBorder="1" applyAlignment="1" applyProtection="1">
      <alignment horizontal="center"/>
      <protection locked="0"/>
    </xf>
    <xf numFmtId="166" fontId="61" fillId="35" borderId="50" xfId="0" applyNumberFormat="1" applyFont="1" applyFill="1" applyBorder="1" applyAlignment="1" applyProtection="1">
      <alignment horizontal="center"/>
      <protection locked="0"/>
    </xf>
    <xf numFmtId="0" fontId="58" fillId="0" borderId="51" xfId="0" applyFont="1" applyBorder="1" applyAlignment="1">
      <alignment horizontal="center" wrapText="1"/>
    </xf>
    <xf numFmtId="10" fontId="2" fillId="34" borderId="29" xfId="0" applyNumberFormat="1" applyFont="1" applyFill="1" applyBorder="1" applyAlignment="1" applyProtection="1">
      <alignment horizontal="center"/>
      <protection/>
    </xf>
    <xf numFmtId="10" fontId="2" fillId="34" borderId="23" xfId="0" applyNumberFormat="1" applyFont="1" applyFill="1" applyBorder="1" applyAlignment="1" applyProtection="1">
      <alignment horizontal="center"/>
      <protection/>
    </xf>
    <xf numFmtId="10" fontId="2" fillId="34" borderId="24" xfId="0" applyNumberFormat="1" applyFont="1" applyFill="1" applyBorder="1" applyAlignment="1" applyProtection="1">
      <alignment horizontal="center"/>
      <protection/>
    </xf>
    <xf numFmtId="10" fontId="2" fillId="34" borderId="28" xfId="0" applyNumberFormat="1" applyFont="1" applyFill="1" applyBorder="1" applyAlignment="1" applyProtection="1">
      <alignment horizontal="center"/>
      <protection/>
    </xf>
    <xf numFmtId="167" fontId="2" fillId="34" borderId="21" xfId="0" applyNumberFormat="1" applyFont="1" applyFill="1" applyBorder="1" applyAlignment="1" applyProtection="1">
      <alignment horizontal="right" wrapText="1" indent="1"/>
      <protection/>
    </xf>
    <xf numFmtId="167" fontId="2" fillId="34" borderId="0" xfId="0" applyNumberFormat="1" applyFont="1" applyFill="1" applyBorder="1" applyAlignment="1" applyProtection="1">
      <alignment horizontal="right" indent="1"/>
      <protection/>
    </xf>
    <xf numFmtId="167" fontId="2" fillId="34" borderId="18" xfId="0" applyNumberFormat="1" applyFont="1" applyFill="1" applyBorder="1" applyAlignment="1" applyProtection="1">
      <alignment horizontal="right" indent="1"/>
      <protection/>
    </xf>
    <xf numFmtId="0" fontId="68" fillId="0" borderId="52" xfId="0" applyFont="1" applyBorder="1" applyAlignment="1">
      <alignment vertical="center"/>
    </xf>
    <xf numFmtId="0" fontId="68" fillId="0" borderId="53" xfId="0" applyFont="1" applyBorder="1" applyAlignment="1">
      <alignment horizontal="center" vertical="center"/>
    </xf>
    <xf numFmtId="0" fontId="0" fillId="0" borderId="20" xfId="0" applyBorder="1" applyAlignment="1">
      <alignment wrapText="1"/>
    </xf>
    <xf numFmtId="0" fontId="58" fillId="0" borderId="42" xfId="0" applyFont="1" applyBorder="1" applyAlignment="1">
      <alignment horizontal="center"/>
    </xf>
    <xf numFmtId="0" fontId="61" fillId="0" borderId="21" xfId="0" applyFont="1" applyBorder="1" applyAlignment="1">
      <alignment vertical="top"/>
    </xf>
    <xf numFmtId="0" fontId="61" fillId="0" borderId="54" xfId="0" applyFont="1" applyBorder="1" applyAlignment="1">
      <alignment horizontal="right" vertical="top"/>
    </xf>
    <xf numFmtId="0" fontId="61" fillId="0" borderId="0" xfId="0" applyFont="1" applyBorder="1" applyAlignment="1">
      <alignment vertical="top"/>
    </xf>
    <xf numFmtId="0" fontId="61" fillId="0" borderId="55" xfId="0" applyFont="1" applyBorder="1" applyAlignment="1">
      <alignment horizontal="right" vertical="top"/>
    </xf>
    <xf numFmtId="0" fontId="61" fillId="0" borderId="0" xfId="0" applyFont="1" applyBorder="1" applyAlignment="1">
      <alignment/>
    </xf>
    <xf numFmtId="0" fontId="61" fillId="0" borderId="55" xfId="0" applyFont="1" applyBorder="1" applyAlignment="1">
      <alignment horizontal="right"/>
    </xf>
    <xf numFmtId="0" fontId="0" fillId="0" borderId="45" xfId="0" applyBorder="1" applyAlignment="1">
      <alignment vertical="center"/>
    </xf>
    <xf numFmtId="167" fontId="58" fillId="0" borderId="12" xfId="0" applyNumberFormat="1" applyFont="1" applyBorder="1" applyAlignment="1">
      <alignment horizontal="center" vertical="center"/>
    </xf>
    <xf numFmtId="9" fontId="61" fillId="0" borderId="45" xfId="0" applyNumberFormat="1" applyFont="1" applyBorder="1" applyAlignment="1" applyProtection="1">
      <alignment horizontal="center" vertical="center"/>
      <protection locked="0"/>
    </xf>
    <xf numFmtId="6" fontId="61" fillId="0" borderId="56" xfId="0" applyNumberFormat="1" applyFont="1" applyBorder="1" applyAlignment="1" applyProtection="1">
      <alignment horizontal="center" vertical="center" wrapText="1"/>
      <protection locked="0"/>
    </xf>
    <xf numFmtId="0" fontId="61" fillId="0" borderId="29" xfId="0" applyFont="1" applyBorder="1" applyAlignment="1" applyProtection="1">
      <alignment horizontal="center" vertical="center" wrapText="1"/>
      <protection locked="0"/>
    </xf>
    <xf numFmtId="1" fontId="5" fillId="35" borderId="57" xfId="0" applyNumberFormat="1" applyFont="1" applyFill="1" applyBorder="1" applyAlignment="1" applyProtection="1">
      <alignment horizontal="center"/>
      <protection/>
    </xf>
    <xf numFmtId="1" fontId="5" fillId="35" borderId="23" xfId="0" applyNumberFormat="1" applyFont="1" applyFill="1" applyBorder="1" applyAlignment="1" applyProtection="1">
      <alignment horizontal="center"/>
      <protection/>
    </xf>
    <xf numFmtId="0" fontId="58" fillId="0" borderId="42" xfId="0" applyFont="1" applyBorder="1" applyAlignment="1">
      <alignment horizontal="center" vertical="center" wrapText="1"/>
    </xf>
    <xf numFmtId="0" fontId="62" fillId="0" borderId="58" xfId="0" applyFont="1" applyBorder="1" applyAlignment="1">
      <alignment horizontal="center" vertical="top" wrapText="1"/>
    </xf>
    <xf numFmtId="168" fontId="63" fillId="36" borderId="44" xfId="0" applyNumberFormat="1" applyFont="1" applyFill="1" applyBorder="1" applyAlignment="1">
      <alignment horizontal="right" vertical="top" wrapText="1"/>
    </xf>
    <xf numFmtId="0" fontId="62" fillId="0" borderId="59" xfId="0" applyFont="1" applyBorder="1" applyAlignment="1">
      <alignment horizontal="center" vertical="top"/>
    </xf>
    <xf numFmtId="0" fontId="0" fillId="0" borderId="30" xfId="0" applyBorder="1" applyAlignment="1">
      <alignment horizontal="center" vertical="top"/>
    </xf>
    <xf numFmtId="0" fontId="62" fillId="0" borderId="60" xfId="0" applyFont="1" applyBorder="1" applyAlignment="1">
      <alignment horizontal="center" vertical="top"/>
    </xf>
    <xf numFmtId="0" fontId="62" fillId="0" borderId="61" xfId="0" applyFont="1" applyBorder="1" applyAlignment="1">
      <alignment horizontal="center" vertical="top"/>
    </xf>
    <xf numFmtId="0" fontId="62" fillId="0" borderId="62" xfId="0" applyFont="1" applyBorder="1" applyAlignment="1">
      <alignment horizontal="center" vertical="top"/>
    </xf>
    <xf numFmtId="0" fontId="69" fillId="0" borderId="0" xfId="52" applyFont="1" applyAlignment="1" applyProtection="1">
      <alignment horizontal="left" vertical="top"/>
      <protection/>
    </xf>
    <xf numFmtId="0" fontId="70" fillId="0" borderId="0" xfId="52" applyFont="1" applyAlignment="1" applyProtection="1">
      <alignment/>
      <protection/>
    </xf>
    <xf numFmtId="0" fontId="2" fillId="0" borderId="12" xfId="0" applyNumberFormat="1" applyFont="1" applyFill="1" applyBorder="1" applyAlignment="1" applyProtection="1">
      <alignment horizontal="center" vertical="center"/>
      <protection/>
    </xf>
    <xf numFmtId="0" fontId="8" fillId="0" borderId="63"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64" xfId="0" applyNumberFormat="1" applyFont="1" applyFill="1" applyBorder="1" applyAlignment="1" applyProtection="1">
      <alignment horizontal="center" vertical="center" wrapText="1"/>
      <protection/>
    </xf>
    <xf numFmtId="0" fontId="8" fillId="0" borderId="65" xfId="0" applyNumberFormat="1" applyFont="1" applyFill="1" applyBorder="1" applyAlignment="1" applyProtection="1">
      <alignment horizontal="center" vertical="center" wrapText="1"/>
      <protection/>
    </xf>
    <xf numFmtId="0" fontId="8" fillId="0" borderId="66" xfId="0" applyNumberFormat="1" applyFont="1" applyFill="1" applyBorder="1" applyAlignment="1" applyProtection="1">
      <alignment horizontal="center" vertical="center" wrapText="1"/>
      <protection/>
    </xf>
    <xf numFmtId="0" fontId="8" fillId="33" borderId="66" xfId="0" applyNumberFormat="1" applyFont="1" applyFill="1" applyBorder="1" applyAlignment="1" applyProtection="1">
      <alignment horizontal="center" vertical="center" wrapText="1"/>
      <protection/>
    </xf>
    <xf numFmtId="0" fontId="12" fillId="0" borderId="66" xfId="0" applyNumberFormat="1" applyFont="1" applyFill="1" applyBorder="1" applyAlignment="1" applyProtection="1">
      <alignment horizontal="center" wrapText="1"/>
      <protection/>
    </xf>
    <xf numFmtId="0" fontId="12" fillId="0" borderId="66" xfId="0" applyNumberFormat="1" applyFont="1" applyFill="1" applyBorder="1" applyAlignment="1" applyProtection="1">
      <alignment horizontal="right" wrapText="1"/>
      <protection/>
    </xf>
    <xf numFmtId="0" fontId="12" fillId="33" borderId="66" xfId="0" applyNumberFormat="1" applyFont="1" applyFill="1" applyBorder="1" applyAlignment="1" applyProtection="1">
      <alignment horizontal="right" wrapText="1"/>
      <protection/>
    </xf>
    <xf numFmtId="0" fontId="17" fillId="0" borderId="66" xfId="0" applyNumberFormat="1" applyFont="1" applyFill="1" applyBorder="1" applyAlignment="1" applyProtection="1">
      <alignment horizontal="center" wrapText="1"/>
      <protection/>
    </xf>
    <xf numFmtId="0" fontId="8" fillId="0" borderId="67" xfId="0" applyNumberFormat="1" applyFont="1" applyFill="1" applyBorder="1" applyAlignment="1" applyProtection="1">
      <alignment horizontal="center" vertical="top"/>
      <protection/>
    </xf>
    <xf numFmtId="0" fontId="12" fillId="0" borderId="68"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0" fontId="52" fillId="0" borderId="0" xfId="52" applyFont="1" applyAlignment="1" applyProtection="1">
      <alignment/>
      <protection/>
    </xf>
    <xf numFmtId="0" fontId="12"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top" wrapText="1"/>
      <protection/>
    </xf>
    <xf numFmtId="3" fontId="12" fillId="0" borderId="12" xfId="0" applyNumberFormat="1" applyFont="1" applyFill="1" applyBorder="1" applyAlignment="1" applyProtection="1">
      <alignment horizontal="center" vertical="top" wrapText="1"/>
      <protection/>
    </xf>
    <xf numFmtId="9" fontId="12" fillId="0" borderId="12" xfId="0" applyNumberFormat="1" applyFont="1" applyFill="1" applyBorder="1" applyAlignment="1" applyProtection="1">
      <alignment horizontal="center" vertical="top" wrapText="1"/>
      <protection/>
    </xf>
    <xf numFmtId="0" fontId="12" fillId="0" borderId="12" xfId="0" applyNumberFormat="1" applyFont="1" applyFill="1" applyBorder="1" applyAlignment="1" applyProtection="1">
      <alignment horizontal="center"/>
      <protection/>
    </xf>
    <xf numFmtId="164" fontId="12" fillId="0" borderId="12" xfId="0" applyNumberFormat="1" applyFont="1" applyFill="1" applyBorder="1" applyAlignment="1" applyProtection="1">
      <alignment horizontal="center" vertical="top" wrapText="1"/>
      <protection/>
    </xf>
    <xf numFmtId="1" fontId="8" fillId="0" borderId="38" xfId="60" applyNumberFormat="1" applyFont="1" applyBorder="1" applyAlignment="1">
      <alignment horizontal="center" wrapText="1"/>
      <protection/>
    </xf>
    <xf numFmtId="10" fontId="12" fillId="0" borderId="12" xfId="0" applyNumberFormat="1" applyFont="1" applyFill="1" applyBorder="1" applyAlignment="1" applyProtection="1">
      <alignment horizontal="center" vertical="top" wrapText="1"/>
      <protection/>
    </xf>
    <xf numFmtId="0" fontId="0" fillId="0" borderId="0" xfId="0" applyFont="1" applyAlignment="1">
      <alignment/>
    </xf>
    <xf numFmtId="3" fontId="12" fillId="0" borderId="12" xfId="0" applyNumberFormat="1" applyFont="1" applyFill="1" applyBorder="1" applyAlignment="1" applyProtection="1">
      <alignment horizontal="center"/>
      <protection/>
    </xf>
    <xf numFmtId="0" fontId="12" fillId="0" borderId="12" xfId="0" applyNumberFormat="1" applyFont="1" applyFill="1" applyBorder="1" applyAlignment="1" applyProtection="1">
      <alignment horizontal="left" indent="1"/>
      <protection/>
    </xf>
    <xf numFmtId="3" fontId="52" fillId="0" borderId="12" xfId="52" applyNumberFormat="1" applyFont="1" applyBorder="1" applyAlignment="1" applyProtection="1">
      <alignment/>
      <protection/>
    </xf>
    <xf numFmtId="0" fontId="0" fillId="0" borderId="12" xfId="0" applyFont="1" applyBorder="1" applyAlignment="1">
      <alignment/>
    </xf>
    <xf numFmtId="0" fontId="12" fillId="0" borderId="12" xfId="0" applyNumberFormat="1" applyFont="1" applyFill="1" applyBorder="1" applyAlignment="1" applyProtection="1">
      <alignment/>
      <protection/>
    </xf>
    <xf numFmtId="0" fontId="12" fillId="0" borderId="0" xfId="0" applyNumberFormat="1" applyFont="1" applyFill="1" applyBorder="1" applyAlignment="1" applyProtection="1">
      <alignment horizontal="right"/>
      <protection/>
    </xf>
    <xf numFmtId="0" fontId="12" fillId="0" borderId="0" xfId="0" applyNumberFormat="1" applyFont="1" applyFill="1" applyBorder="1" applyAlignment="1" applyProtection="1">
      <alignment wrapText="1"/>
      <protection/>
    </xf>
    <xf numFmtId="0" fontId="52" fillId="0" borderId="0" xfId="52" applyNumberFormat="1" applyFont="1" applyFill="1" applyBorder="1" applyAlignment="1" applyProtection="1">
      <alignment vertical="center"/>
      <protection/>
    </xf>
    <xf numFmtId="0" fontId="0" fillId="34" borderId="38" xfId="0" applyFont="1" applyFill="1" applyBorder="1" applyAlignment="1">
      <alignment/>
    </xf>
    <xf numFmtId="6" fontId="0" fillId="34" borderId="12" xfId="0" applyNumberFormat="1" applyFont="1" applyFill="1" applyBorder="1" applyAlignment="1">
      <alignment horizontal="right"/>
    </xf>
    <xf numFmtId="0" fontId="0" fillId="34" borderId="12" xfId="0" applyFont="1" applyFill="1" applyBorder="1" applyAlignment="1">
      <alignment vertical="top" wrapText="1"/>
    </xf>
    <xf numFmtId="6" fontId="0" fillId="34" borderId="12" xfId="0" applyNumberFormat="1" applyFont="1" applyFill="1" applyBorder="1" applyAlignment="1">
      <alignment horizontal="right" vertical="top"/>
    </xf>
    <xf numFmtId="6" fontId="0" fillId="34" borderId="69" xfId="0" applyNumberFormat="1" applyFont="1" applyFill="1" applyBorder="1" applyAlignment="1">
      <alignment horizontal="right" vertical="top" wrapText="1"/>
    </xf>
    <xf numFmtId="0" fontId="0" fillId="34" borderId="38" xfId="0" applyFont="1" applyFill="1" applyBorder="1" applyAlignment="1">
      <alignment wrapText="1"/>
    </xf>
    <xf numFmtId="3" fontId="0" fillId="34" borderId="12" xfId="0" applyNumberFormat="1" applyFont="1" applyFill="1" applyBorder="1" applyAlignment="1">
      <alignment horizontal="right" wrapText="1"/>
    </xf>
    <xf numFmtId="3" fontId="0" fillId="34" borderId="12" xfId="0" applyNumberFormat="1" applyFont="1" applyFill="1" applyBorder="1" applyAlignment="1">
      <alignment horizontal="right" vertical="top"/>
    </xf>
    <xf numFmtId="3" fontId="0" fillId="34" borderId="69" xfId="0" applyNumberFormat="1" applyFont="1" applyFill="1" applyBorder="1" applyAlignment="1">
      <alignment horizontal="right" vertical="top" wrapText="1"/>
    </xf>
    <xf numFmtId="3" fontId="0" fillId="34" borderId="12" xfId="0" applyNumberFormat="1" applyFont="1" applyFill="1" applyBorder="1" applyAlignment="1">
      <alignment horizontal="right" vertical="top" wrapText="1"/>
    </xf>
    <xf numFmtId="0" fontId="0" fillId="34" borderId="12" xfId="0" applyFont="1" applyFill="1" applyBorder="1" applyAlignment="1">
      <alignment horizontal="left" vertical="top" wrapText="1"/>
    </xf>
    <xf numFmtId="3" fontId="0" fillId="34" borderId="69" xfId="0" applyNumberFormat="1" applyFont="1" applyFill="1" applyBorder="1" applyAlignment="1">
      <alignment horizontal="right" vertical="top"/>
    </xf>
    <xf numFmtId="0" fontId="0" fillId="34" borderId="39" xfId="0" applyFont="1" applyFill="1" applyBorder="1" applyAlignment="1">
      <alignment vertical="top" wrapText="1"/>
    </xf>
    <xf numFmtId="3" fontId="0" fillId="34" borderId="17" xfId="0" applyNumberFormat="1" applyFont="1" applyFill="1" applyBorder="1" applyAlignment="1">
      <alignment horizontal="right" vertical="top"/>
    </xf>
    <xf numFmtId="0" fontId="0" fillId="34" borderId="17" xfId="0" applyFont="1" applyFill="1" applyBorder="1" applyAlignment="1">
      <alignment vertical="top" wrapText="1"/>
    </xf>
    <xf numFmtId="3" fontId="0" fillId="34" borderId="17" xfId="0" applyNumberFormat="1" applyFont="1" applyFill="1" applyBorder="1" applyAlignment="1">
      <alignment horizontal="right" vertical="top" wrapText="1"/>
    </xf>
    <xf numFmtId="0" fontId="0" fillId="34" borderId="17" xfId="0" applyFont="1" applyFill="1" applyBorder="1" applyAlignment="1">
      <alignment horizontal="left" vertical="top" wrapText="1"/>
    </xf>
    <xf numFmtId="3" fontId="0" fillId="34" borderId="70" xfId="0" applyNumberFormat="1" applyFont="1" applyFill="1" applyBorder="1" applyAlignment="1">
      <alignment horizontal="right" vertical="top" wrapText="1"/>
    </xf>
    <xf numFmtId="0" fontId="52" fillId="38" borderId="71" xfId="52" applyFont="1" applyFill="1" applyBorder="1" applyAlignment="1" applyProtection="1">
      <alignment horizontal="center" vertical="center" wrapText="1"/>
      <protection/>
    </xf>
    <xf numFmtId="0" fontId="0" fillId="0" borderId="71" xfId="0" applyFont="1" applyBorder="1" applyAlignment="1">
      <alignment horizontal="center" wrapText="1"/>
    </xf>
    <xf numFmtId="4" fontId="0" fillId="0" borderId="71" xfId="0" applyNumberFormat="1" applyFont="1" applyBorder="1" applyAlignment="1">
      <alignment horizontal="right" wrapText="1"/>
    </xf>
    <xf numFmtId="0" fontId="0" fillId="0" borderId="71" xfId="0" applyFont="1" applyBorder="1" applyAlignment="1">
      <alignment horizontal="right" wrapText="1"/>
    </xf>
    <xf numFmtId="10" fontId="0" fillId="0" borderId="71" xfId="0" applyNumberFormat="1" applyFont="1" applyBorder="1" applyAlignment="1">
      <alignment horizontal="right" wrapText="1"/>
    </xf>
    <xf numFmtId="0" fontId="0" fillId="0" borderId="0" xfId="0" applyFont="1" applyAlignment="1">
      <alignment/>
    </xf>
    <xf numFmtId="0" fontId="0" fillId="0" borderId="37" xfId="0" applyFont="1" applyBorder="1" applyAlignment="1">
      <alignment horizontal="center"/>
    </xf>
    <xf numFmtId="0" fontId="0" fillId="0" borderId="16" xfId="0" applyFont="1" applyBorder="1" applyAlignment="1">
      <alignment horizontal="center"/>
    </xf>
    <xf numFmtId="0" fontId="0" fillId="0" borderId="72" xfId="0" applyFont="1" applyBorder="1" applyAlignment="1">
      <alignment horizontal="center"/>
    </xf>
    <xf numFmtId="4" fontId="0" fillId="0" borderId="12" xfId="0" applyNumberFormat="1" applyFont="1" applyBorder="1" applyAlignment="1">
      <alignment/>
    </xf>
    <xf numFmtId="4" fontId="0" fillId="0" borderId="12" xfId="0" applyNumberFormat="1" applyFont="1" applyBorder="1" applyAlignment="1">
      <alignment horizontal="center"/>
    </xf>
    <xf numFmtId="4" fontId="0" fillId="0" borderId="69" xfId="0" applyNumberFormat="1" applyFont="1" applyBorder="1" applyAlignment="1">
      <alignment horizontal="center"/>
    </xf>
    <xf numFmtId="4" fontId="0" fillId="0" borderId="12" xfId="0" applyNumberFormat="1" applyFont="1" applyBorder="1" applyAlignment="1">
      <alignment wrapText="1"/>
    </xf>
    <xf numFmtId="4" fontId="0" fillId="0" borderId="12" xfId="0" applyNumberFormat="1" applyFont="1" applyBorder="1" applyAlignment="1">
      <alignment horizontal="center" wrapText="1"/>
    </xf>
    <xf numFmtId="0" fontId="0" fillId="0" borderId="0" xfId="0" applyAlignment="1">
      <alignment horizontal="center" vertical="top" wrapText="1"/>
    </xf>
    <xf numFmtId="0" fontId="58" fillId="0" borderId="0" xfId="0" applyFont="1" applyAlignment="1">
      <alignment horizontal="left" vertical="top"/>
    </xf>
    <xf numFmtId="1" fontId="5" fillId="34" borderId="45" xfId="0" applyNumberFormat="1" applyFont="1" applyFill="1" applyBorder="1" applyAlignment="1" applyProtection="1">
      <alignment horizontal="center" vertical="center" wrapText="1"/>
      <protection/>
    </xf>
    <xf numFmtId="0" fontId="5" fillId="34" borderId="45" xfId="0" applyNumberFormat="1" applyFont="1" applyFill="1" applyBorder="1" applyAlignment="1" applyProtection="1">
      <alignment horizontal="center" vertical="center" wrapText="1"/>
      <protection/>
    </xf>
    <xf numFmtId="0" fontId="8" fillId="0" borderId="45" xfId="0" applyFont="1" applyBorder="1" applyAlignment="1">
      <alignment horizontal="center" vertical="center" wrapText="1"/>
    </xf>
    <xf numFmtId="167" fontId="66" fillId="0" borderId="12" xfId="0" applyNumberFormat="1" applyFont="1" applyFill="1" applyBorder="1" applyAlignment="1" applyProtection="1">
      <alignment horizontal="center"/>
      <protection/>
    </xf>
    <xf numFmtId="0" fontId="0" fillId="0" borderId="53" xfId="0" applyBorder="1" applyAlignment="1">
      <alignment horizontal="left" wrapText="1"/>
    </xf>
    <xf numFmtId="0" fontId="5" fillId="34" borderId="42" xfId="0" applyNumberFormat="1" applyFont="1" applyFill="1" applyBorder="1" applyAlignment="1" applyProtection="1">
      <alignment horizontal="center" vertical="center" wrapText="1"/>
      <protection/>
    </xf>
    <xf numFmtId="1" fontId="12" fillId="34" borderId="12" xfId="0" applyNumberFormat="1" applyFont="1" applyFill="1" applyBorder="1" applyAlignment="1" applyProtection="1">
      <alignment horizontal="center" vertical="center" wrapText="1"/>
      <protection/>
    </xf>
    <xf numFmtId="0" fontId="0" fillId="0" borderId="12" xfId="0" applyFont="1" applyBorder="1" applyAlignment="1">
      <alignment horizontal="center" wrapText="1"/>
    </xf>
    <xf numFmtId="1" fontId="12" fillId="0" borderId="12" xfId="60" applyNumberFormat="1" applyFont="1" applyBorder="1" applyAlignment="1">
      <alignment horizontal="center" wrapText="1"/>
      <protection/>
    </xf>
    <xf numFmtId="0" fontId="0" fillId="0" borderId="73" xfId="0" applyBorder="1" applyAlignment="1">
      <alignment/>
    </xf>
    <xf numFmtId="0" fontId="0" fillId="0" borderId="73" xfId="0" applyBorder="1" applyAlignment="1">
      <alignment horizontal="center"/>
    </xf>
    <xf numFmtId="0" fontId="58" fillId="0" borderId="53" xfId="0" applyFont="1" applyBorder="1" applyAlignment="1">
      <alignment horizontal="center"/>
    </xf>
    <xf numFmtId="0" fontId="58" fillId="0" borderId="45" xfId="0" applyFont="1" applyBorder="1" applyAlignment="1">
      <alignment horizontal="center"/>
    </xf>
    <xf numFmtId="0" fontId="58" fillId="0" borderId="52" xfId="0" applyFont="1" applyBorder="1" applyAlignment="1">
      <alignment horizontal="center"/>
    </xf>
    <xf numFmtId="38" fontId="68" fillId="0" borderId="74" xfId="0" applyNumberFormat="1" applyFont="1" applyBorder="1" applyAlignment="1">
      <alignment horizontal="center" vertical="center" wrapText="1"/>
    </xf>
    <xf numFmtId="0" fontId="61" fillId="0" borderId="51" xfId="0" applyFont="1" applyBorder="1" applyAlignment="1" applyProtection="1">
      <alignment horizontal="center" vertical="center" wrapText="1"/>
      <protection locked="0"/>
    </xf>
    <xf numFmtId="3" fontId="61" fillId="0" borderId="12" xfId="0" applyNumberFormat="1" applyFont="1" applyBorder="1" applyAlignment="1" applyProtection="1">
      <alignment horizontal="center"/>
      <protection locked="0"/>
    </xf>
    <xf numFmtId="1" fontId="13" fillId="34" borderId="20" xfId="0" applyNumberFormat="1" applyFont="1" applyFill="1" applyBorder="1" applyAlignment="1" applyProtection="1">
      <alignment horizontal="center" vertical="center" wrapText="1"/>
      <protection/>
    </xf>
    <xf numFmtId="1" fontId="13" fillId="34" borderId="21" xfId="0" applyNumberFormat="1" applyFont="1" applyFill="1" applyBorder="1" applyAlignment="1" applyProtection="1">
      <alignment horizontal="center" vertical="center" wrapText="1"/>
      <protection/>
    </xf>
    <xf numFmtId="1" fontId="13" fillId="34" borderId="31" xfId="0" applyNumberFormat="1" applyFont="1" applyFill="1" applyBorder="1" applyAlignment="1" applyProtection="1">
      <alignment horizontal="center" vertical="center" wrapText="1"/>
      <protection/>
    </xf>
    <xf numFmtId="1" fontId="13" fillId="34" borderId="19" xfId="0" applyNumberFormat="1" applyFont="1" applyFill="1" applyBorder="1" applyAlignment="1" applyProtection="1">
      <alignment horizontal="center" vertical="center" wrapText="1"/>
      <protection/>
    </xf>
    <xf numFmtId="1" fontId="13" fillId="34" borderId="18" xfId="0" applyNumberFormat="1" applyFont="1" applyFill="1" applyBorder="1" applyAlignment="1" applyProtection="1">
      <alignment horizontal="center" vertical="center" wrapText="1"/>
      <protection/>
    </xf>
    <xf numFmtId="1" fontId="13" fillId="34" borderId="25" xfId="0" applyNumberFormat="1" applyFont="1" applyFill="1" applyBorder="1" applyAlignment="1" applyProtection="1">
      <alignment horizontal="center" vertical="center" wrapText="1"/>
      <protection/>
    </xf>
    <xf numFmtId="3" fontId="13" fillId="34" borderId="20" xfId="0" applyNumberFormat="1" applyFont="1" applyFill="1" applyBorder="1" applyAlignment="1" applyProtection="1">
      <alignment horizontal="center" vertical="center"/>
      <protection/>
    </xf>
    <xf numFmtId="3" fontId="13" fillId="34" borderId="21" xfId="0" applyNumberFormat="1" applyFont="1" applyFill="1" applyBorder="1" applyAlignment="1" applyProtection="1">
      <alignment horizontal="center" vertical="center"/>
      <protection/>
    </xf>
    <xf numFmtId="3" fontId="13" fillId="34" borderId="31" xfId="0" applyNumberFormat="1" applyFont="1" applyFill="1" applyBorder="1" applyAlignment="1" applyProtection="1">
      <alignment horizontal="center" vertical="center"/>
      <protection/>
    </xf>
    <xf numFmtId="3" fontId="13" fillId="34" borderId="19" xfId="0" applyNumberFormat="1" applyFont="1" applyFill="1" applyBorder="1" applyAlignment="1" applyProtection="1">
      <alignment horizontal="center" vertical="center"/>
      <protection/>
    </xf>
    <xf numFmtId="3" fontId="13" fillId="34" borderId="18" xfId="0" applyNumberFormat="1" applyFont="1" applyFill="1" applyBorder="1" applyAlignment="1" applyProtection="1">
      <alignment horizontal="center" vertical="center"/>
      <protection/>
    </xf>
    <xf numFmtId="3" fontId="13" fillId="34" borderId="25" xfId="0" applyNumberFormat="1" applyFont="1" applyFill="1" applyBorder="1" applyAlignment="1" applyProtection="1">
      <alignment horizontal="center" vertical="center"/>
      <protection/>
    </xf>
    <xf numFmtId="3" fontId="8" fillId="34" borderId="53" xfId="0" applyNumberFormat="1" applyFont="1" applyFill="1" applyBorder="1" applyAlignment="1" applyProtection="1">
      <alignment horizontal="center" vertical="top"/>
      <protection/>
    </xf>
    <xf numFmtId="3" fontId="8" fillId="34" borderId="45" xfId="0" applyNumberFormat="1" applyFont="1" applyFill="1" applyBorder="1" applyAlignment="1" applyProtection="1">
      <alignment horizontal="center" vertical="top"/>
      <protection/>
    </xf>
    <xf numFmtId="3" fontId="8" fillId="34" borderId="52" xfId="0" applyNumberFormat="1" applyFont="1" applyFill="1" applyBorder="1" applyAlignment="1" applyProtection="1">
      <alignment horizontal="center" vertical="top"/>
      <protection/>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31" xfId="0" applyFont="1" applyBorder="1" applyAlignment="1">
      <alignment horizontal="center" vertical="center"/>
    </xf>
    <xf numFmtId="0" fontId="13" fillId="0" borderId="19" xfId="0" applyFont="1" applyBorder="1" applyAlignment="1">
      <alignment horizontal="center" vertical="center"/>
    </xf>
    <xf numFmtId="0" fontId="13" fillId="0" borderId="18" xfId="0" applyFont="1" applyBorder="1" applyAlignment="1">
      <alignment horizontal="center" vertical="center"/>
    </xf>
    <xf numFmtId="0" fontId="13" fillId="0" borderId="25" xfId="0" applyFont="1" applyBorder="1" applyAlignment="1">
      <alignment horizontal="center" vertical="center"/>
    </xf>
    <xf numFmtId="0" fontId="5" fillId="35" borderId="31" xfId="0" applyNumberFormat="1" applyFont="1" applyFill="1" applyBorder="1" applyAlignment="1" applyProtection="1">
      <alignment horizontal="center" vertical="center" wrapText="1"/>
      <protection/>
    </xf>
    <xf numFmtId="0" fontId="5" fillId="35" borderId="25" xfId="0" applyNumberFormat="1" applyFont="1" applyFill="1" applyBorder="1" applyAlignment="1" applyProtection="1">
      <alignment horizontal="center" vertical="center" wrapText="1"/>
      <protection/>
    </xf>
    <xf numFmtId="3" fontId="5" fillId="34" borderId="59" xfId="0" applyNumberFormat="1" applyFont="1" applyFill="1" applyBorder="1" applyAlignment="1" applyProtection="1">
      <alignment horizontal="center" vertical="center" wrapText="1"/>
      <protection/>
    </xf>
    <xf numFmtId="3" fontId="5" fillId="34" borderId="30" xfId="0" applyNumberFormat="1" applyFont="1" applyFill="1" applyBorder="1" applyAlignment="1" applyProtection="1">
      <alignment horizontal="center" vertical="center" wrapText="1"/>
      <protection/>
    </xf>
    <xf numFmtId="0" fontId="8" fillId="0" borderId="20" xfId="0" applyFont="1" applyBorder="1" applyAlignment="1">
      <alignment horizontal="center" vertical="top"/>
    </xf>
    <xf numFmtId="0" fontId="8" fillId="0" borderId="31" xfId="0" applyFont="1" applyBorder="1" applyAlignment="1">
      <alignment horizontal="center" vertical="top"/>
    </xf>
    <xf numFmtId="0" fontId="68" fillId="0" borderId="20" xfId="0" applyFont="1" applyBorder="1" applyAlignment="1">
      <alignment horizontal="right" vertical="center"/>
    </xf>
    <xf numFmtId="0" fontId="68" fillId="0" borderId="21" xfId="0" applyFont="1" applyBorder="1" applyAlignment="1">
      <alignment horizontal="right" vertical="center"/>
    </xf>
    <xf numFmtId="0" fontId="68" fillId="0" borderId="13" xfId="0" applyFont="1" applyBorder="1" applyAlignment="1">
      <alignment horizontal="right" vertical="center"/>
    </xf>
    <xf numFmtId="0" fontId="68" fillId="0" borderId="0" xfId="0" applyFont="1" applyBorder="1" applyAlignment="1">
      <alignment horizontal="right" vertical="center"/>
    </xf>
    <xf numFmtId="3" fontId="8" fillId="34" borderId="20" xfId="0" applyNumberFormat="1" applyFont="1" applyFill="1" applyBorder="1" applyAlignment="1" applyProtection="1">
      <alignment horizontal="left" vertical="center" wrapText="1" indent="1"/>
      <protection/>
    </xf>
    <xf numFmtId="3" fontId="5" fillId="34" borderId="21" xfId="0" applyNumberFormat="1" applyFont="1" applyFill="1" applyBorder="1" applyAlignment="1" applyProtection="1">
      <alignment horizontal="left" vertical="center" wrapText="1" indent="1"/>
      <protection/>
    </xf>
    <xf numFmtId="3" fontId="5" fillId="34" borderId="31" xfId="0" applyNumberFormat="1" applyFont="1" applyFill="1" applyBorder="1" applyAlignment="1" applyProtection="1">
      <alignment horizontal="left" vertical="center" wrapText="1" indent="1"/>
      <protection/>
    </xf>
    <xf numFmtId="3" fontId="5" fillId="34" borderId="13" xfId="0" applyNumberFormat="1" applyFont="1" applyFill="1" applyBorder="1" applyAlignment="1" applyProtection="1">
      <alignment horizontal="left" vertical="center" wrapText="1" indent="1"/>
      <protection/>
    </xf>
    <xf numFmtId="3" fontId="5" fillId="34" borderId="0" xfId="0" applyNumberFormat="1" applyFont="1" applyFill="1" applyBorder="1" applyAlignment="1" applyProtection="1">
      <alignment horizontal="left" vertical="center" wrapText="1" indent="1"/>
      <protection/>
    </xf>
    <xf numFmtId="3" fontId="5" fillId="34" borderId="26" xfId="0" applyNumberFormat="1" applyFont="1" applyFill="1" applyBorder="1" applyAlignment="1" applyProtection="1">
      <alignment horizontal="left" vertical="center" wrapText="1" indent="1"/>
      <protection/>
    </xf>
    <xf numFmtId="3" fontId="5" fillId="34" borderId="19" xfId="0" applyNumberFormat="1" applyFont="1" applyFill="1" applyBorder="1" applyAlignment="1" applyProtection="1">
      <alignment horizontal="left" vertical="center" wrapText="1" indent="1"/>
      <protection/>
    </xf>
    <xf numFmtId="3" fontId="5" fillId="34" borderId="18" xfId="0" applyNumberFormat="1" applyFont="1" applyFill="1" applyBorder="1" applyAlignment="1" applyProtection="1">
      <alignment horizontal="left" vertical="center" wrapText="1" indent="1"/>
      <protection/>
    </xf>
    <xf numFmtId="3" fontId="5" fillId="34" borderId="25" xfId="0" applyNumberFormat="1" applyFont="1" applyFill="1" applyBorder="1" applyAlignment="1" applyProtection="1">
      <alignment horizontal="left" vertical="center" wrapText="1" indent="1"/>
      <protection/>
    </xf>
    <xf numFmtId="0" fontId="58" fillId="0" borderId="53" xfId="0" applyFont="1" applyBorder="1" applyAlignment="1">
      <alignment horizontal="center"/>
    </xf>
    <xf numFmtId="0" fontId="58" fillId="0" borderId="45" xfId="0" applyFont="1" applyBorder="1" applyAlignment="1">
      <alignment horizontal="center"/>
    </xf>
    <xf numFmtId="0" fontId="58" fillId="0" borderId="52" xfId="0" applyFont="1" applyBorder="1" applyAlignment="1">
      <alignment horizontal="center"/>
    </xf>
    <xf numFmtId="167" fontId="8" fillId="0" borderId="21" xfId="0" applyNumberFormat="1" applyFont="1" applyBorder="1" applyAlignment="1">
      <alignment horizontal="center" vertical="center"/>
    </xf>
    <xf numFmtId="167" fontId="8" fillId="0" borderId="31" xfId="0" applyNumberFormat="1" applyFont="1" applyBorder="1" applyAlignment="1">
      <alignment horizontal="center" vertical="center"/>
    </xf>
    <xf numFmtId="167" fontId="8" fillId="0" borderId="0" xfId="0" applyNumberFormat="1" applyFont="1" applyBorder="1" applyAlignment="1">
      <alignment horizontal="center" vertical="center"/>
    </xf>
    <xf numFmtId="167" fontId="8" fillId="0" borderId="26" xfId="0" applyNumberFormat="1"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58" fillId="0" borderId="59" xfId="0" applyFont="1" applyBorder="1" applyAlignment="1">
      <alignment horizontal="center" vertical="center" wrapText="1"/>
    </xf>
    <xf numFmtId="0" fontId="58" fillId="0" borderId="30" xfId="0" applyFont="1" applyBorder="1" applyAlignment="1">
      <alignment horizontal="center" vertical="center" wrapText="1"/>
    </xf>
    <xf numFmtId="0" fontId="68" fillId="0" borderId="59" xfId="0" applyFont="1" applyBorder="1" applyAlignment="1">
      <alignment horizontal="center" vertical="center" wrapText="1"/>
    </xf>
    <xf numFmtId="0" fontId="68" fillId="0" borderId="30" xfId="0" applyFont="1" applyBorder="1" applyAlignment="1">
      <alignment horizontal="center" vertical="center" wrapText="1"/>
    </xf>
    <xf numFmtId="0" fontId="71" fillId="0" borderId="20" xfId="0" applyFont="1"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8" fillId="0" borderId="59" xfId="0" applyFont="1" applyBorder="1" applyAlignment="1">
      <alignment horizontal="center" vertical="center" wrapText="1"/>
    </xf>
    <xf numFmtId="0" fontId="8" fillId="0" borderId="30" xfId="0" applyFont="1" applyBorder="1" applyAlignment="1">
      <alignment horizontal="center" vertical="center" wrapText="1"/>
    </xf>
    <xf numFmtId="1" fontId="5" fillId="34" borderId="59" xfId="0" applyNumberFormat="1" applyFont="1" applyFill="1" applyBorder="1" applyAlignment="1" applyProtection="1">
      <alignment horizontal="center" vertical="center" wrapText="1"/>
      <protection/>
    </xf>
    <xf numFmtId="1" fontId="5" fillId="34" borderId="30" xfId="0" applyNumberFormat="1" applyFont="1" applyFill="1" applyBorder="1" applyAlignment="1" applyProtection="1">
      <alignment horizontal="center" vertical="center" wrapText="1"/>
      <protection/>
    </xf>
    <xf numFmtId="0" fontId="5" fillId="35" borderId="59" xfId="0" applyNumberFormat="1" applyFont="1" applyFill="1" applyBorder="1" applyAlignment="1" applyProtection="1">
      <alignment horizontal="center" vertical="center" wrapText="1"/>
      <protection/>
    </xf>
    <xf numFmtId="0" fontId="5" fillId="35" borderId="30" xfId="0" applyNumberFormat="1" applyFont="1" applyFill="1" applyBorder="1" applyAlignment="1" applyProtection="1">
      <alignment horizontal="center" vertical="center" wrapText="1"/>
      <protection/>
    </xf>
    <xf numFmtId="0" fontId="0" fillId="0" borderId="45" xfId="0" applyBorder="1" applyAlignment="1">
      <alignment/>
    </xf>
    <xf numFmtId="0" fontId="13" fillId="0" borderId="13" xfId="0" applyFont="1" applyBorder="1" applyAlignment="1">
      <alignment horizontal="center" vertical="center"/>
    </xf>
    <xf numFmtId="0" fontId="13" fillId="0" borderId="0" xfId="0" applyFont="1" applyBorder="1" applyAlignment="1">
      <alignment horizontal="center" vertical="center"/>
    </xf>
    <xf numFmtId="0" fontId="58" fillId="0" borderId="20" xfId="0" applyFont="1" applyBorder="1" applyAlignment="1" applyProtection="1">
      <alignment horizontal="left" vertical="center" wrapText="1" indent="1" shrinkToFit="1"/>
      <protection/>
    </xf>
    <xf numFmtId="0" fontId="0" fillId="0" borderId="21" xfId="0" applyBorder="1" applyAlignment="1">
      <alignment/>
    </xf>
    <xf numFmtId="0" fontId="0" fillId="0" borderId="13" xfId="0" applyBorder="1" applyAlignment="1">
      <alignment/>
    </xf>
    <xf numFmtId="0" fontId="0" fillId="0" borderId="0" xfId="0" applyAlignment="1">
      <alignment/>
    </xf>
    <xf numFmtId="0" fontId="0" fillId="0" borderId="0" xfId="0" applyBorder="1" applyAlignment="1">
      <alignment/>
    </xf>
    <xf numFmtId="0" fontId="0" fillId="0" borderId="19" xfId="0" applyBorder="1" applyAlignment="1">
      <alignment/>
    </xf>
    <xf numFmtId="0" fontId="0" fillId="0" borderId="18" xfId="0" applyBorder="1" applyAlignment="1">
      <alignment/>
    </xf>
    <xf numFmtId="3" fontId="2" fillId="34" borderId="19" xfId="0" applyNumberFormat="1" applyFont="1" applyFill="1" applyBorder="1" applyAlignment="1" applyProtection="1">
      <alignment horizontal="right" indent="1"/>
      <protection/>
    </xf>
    <xf numFmtId="0" fontId="0" fillId="0" borderId="25" xfId="0" applyBorder="1" applyAlignment="1">
      <alignment/>
    </xf>
    <xf numFmtId="3" fontId="2" fillId="34" borderId="53" xfId="0" applyNumberFormat="1" applyFont="1" applyFill="1" applyBorder="1" applyAlignment="1" applyProtection="1">
      <alignment horizontal="center"/>
      <protection/>
    </xf>
    <xf numFmtId="0" fontId="0" fillId="0" borderId="52" xfId="0" applyBorder="1" applyAlignment="1">
      <alignment/>
    </xf>
    <xf numFmtId="0" fontId="2" fillId="0" borderId="13" xfId="0" applyNumberFormat="1" applyFont="1" applyFill="1" applyBorder="1" applyAlignment="1" applyProtection="1">
      <alignment horizontal="right" indent="1"/>
      <protection/>
    </xf>
    <xf numFmtId="0" fontId="0" fillId="0" borderId="26" xfId="0" applyBorder="1" applyAlignment="1">
      <alignment/>
    </xf>
    <xf numFmtId="0" fontId="2" fillId="0" borderId="20" xfId="0" applyNumberFormat="1" applyFont="1" applyFill="1" applyBorder="1" applyAlignment="1" applyProtection="1">
      <alignment horizontal="right" indent="1"/>
      <protection/>
    </xf>
    <xf numFmtId="0" fontId="0" fillId="0" borderId="31" xfId="0" applyBorder="1" applyAlignment="1">
      <alignment/>
    </xf>
    <xf numFmtId="0" fontId="69" fillId="0" borderId="0" xfId="52" applyFont="1" applyAlignment="1" applyProtection="1">
      <alignment horizontal="left" vertical="top"/>
      <protection/>
    </xf>
    <xf numFmtId="0" fontId="0" fillId="0" borderId="0" xfId="0" applyAlignment="1">
      <alignment/>
    </xf>
    <xf numFmtId="0" fontId="0" fillId="0" borderId="0" xfId="0" applyAlignment="1">
      <alignment horizontal="left" vertical="center" wrapText="1"/>
    </xf>
    <xf numFmtId="0" fontId="0" fillId="0" borderId="18" xfId="0" applyBorder="1" applyAlignment="1">
      <alignment horizontal="left" vertical="center" wrapText="1"/>
    </xf>
    <xf numFmtId="0" fontId="63" fillId="0" borderId="0" xfId="0" applyFont="1" applyAlignment="1">
      <alignment horizontal="left" vertical="center" wrapText="1"/>
    </xf>
    <xf numFmtId="0" fontId="72" fillId="0" borderId="0" xfId="0" applyFont="1" applyAlignment="1">
      <alignment horizontal="left" vertical="top" wrapText="1"/>
    </xf>
    <xf numFmtId="0" fontId="52" fillId="0" borderId="53" xfId="52" applyBorder="1" applyAlignment="1" applyProtection="1">
      <alignment horizontal="center"/>
      <protection/>
    </xf>
    <xf numFmtId="0" fontId="52" fillId="0" borderId="45" xfId="52" applyBorder="1" applyAlignment="1" applyProtection="1">
      <alignment horizontal="center"/>
      <protection/>
    </xf>
    <xf numFmtId="0" fontId="52" fillId="0" borderId="52" xfId="52" applyBorder="1" applyAlignment="1" applyProtection="1">
      <alignment horizontal="center"/>
      <protection/>
    </xf>
    <xf numFmtId="0" fontId="62" fillId="0" borderId="58" xfId="0" applyFont="1" applyBorder="1" applyAlignment="1">
      <alignment horizontal="center" vertical="top" wrapText="1"/>
    </xf>
    <xf numFmtId="0" fontId="62" fillId="0" borderId="0" xfId="0" applyFont="1" applyBorder="1" applyAlignment="1">
      <alignment horizontal="center" vertical="top" wrapText="1"/>
    </xf>
    <xf numFmtId="0" fontId="62" fillId="0" borderId="60" xfId="0" applyFont="1" applyBorder="1" applyAlignment="1">
      <alignment horizontal="center" vertical="top" wrapText="1"/>
    </xf>
    <xf numFmtId="0" fontId="62" fillId="0" borderId="20" xfId="0" applyFont="1" applyBorder="1" applyAlignment="1">
      <alignment horizontal="center" vertical="top" wrapText="1"/>
    </xf>
    <xf numFmtId="0" fontId="62" fillId="0" borderId="21" xfId="0" applyFont="1" applyBorder="1" applyAlignment="1">
      <alignment horizontal="center" vertical="top" wrapText="1"/>
    </xf>
    <xf numFmtId="0" fontId="62" fillId="0" borderId="52" xfId="0" applyFont="1" applyBorder="1" applyAlignment="1">
      <alignment horizontal="center" vertical="top" wrapText="1"/>
    </xf>
    <xf numFmtId="0" fontId="64" fillId="0" borderId="38" xfId="0" applyFont="1" applyBorder="1" applyAlignment="1">
      <alignment horizontal="left" vertical="top" wrapText="1"/>
    </xf>
    <xf numFmtId="0" fontId="64" fillId="0" borderId="12" xfId="0" applyFont="1" applyBorder="1" applyAlignment="1">
      <alignment horizontal="left" vertical="top" wrapText="1"/>
    </xf>
    <xf numFmtId="0" fontId="64" fillId="0" borderId="69" xfId="0" applyFont="1" applyBorder="1" applyAlignment="1">
      <alignment horizontal="left" vertical="top" wrapText="1"/>
    </xf>
    <xf numFmtId="0" fontId="0" fillId="0" borderId="38" xfId="0" applyBorder="1" applyAlignment="1">
      <alignment horizontal="left" vertical="top" wrapText="1"/>
    </xf>
    <xf numFmtId="0" fontId="0" fillId="0" borderId="12" xfId="0" applyBorder="1" applyAlignment="1">
      <alignment horizontal="left" vertical="top" wrapText="1"/>
    </xf>
    <xf numFmtId="0" fontId="0" fillId="0" borderId="69" xfId="0" applyBorder="1" applyAlignment="1">
      <alignment horizontal="left" vertical="top" wrapText="1"/>
    </xf>
    <xf numFmtId="0" fontId="0" fillId="0" borderId="12" xfId="0" applyBorder="1" applyAlignment="1">
      <alignment vertical="top" wrapText="1"/>
    </xf>
    <xf numFmtId="0" fontId="0" fillId="0" borderId="69"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17" xfId="0" applyBorder="1" applyAlignment="1">
      <alignment vertical="top" wrapText="1"/>
    </xf>
    <xf numFmtId="0" fontId="0" fillId="0" borderId="70" xfId="0" applyBorder="1" applyAlignment="1">
      <alignment vertical="top" wrapText="1"/>
    </xf>
    <xf numFmtId="0" fontId="72" fillId="0" borderId="0" xfId="0" applyFont="1" applyAlignment="1">
      <alignment horizontal="left" vertical="top"/>
    </xf>
    <xf numFmtId="0" fontId="73" fillId="0" borderId="37" xfId="0" applyFont="1" applyBorder="1" applyAlignment="1">
      <alignment horizontal="left" vertical="top" wrapText="1"/>
    </xf>
    <xf numFmtId="0" fontId="73" fillId="0" borderId="16" xfId="0" applyFont="1" applyBorder="1" applyAlignment="1">
      <alignment horizontal="left" vertical="top" wrapText="1"/>
    </xf>
    <xf numFmtId="0" fontId="73" fillId="0" borderId="72" xfId="0" applyFont="1" applyBorder="1" applyAlignment="1">
      <alignment horizontal="left" vertical="top" wrapText="1"/>
    </xf>
    <xf numFmtId="0" fontId="73" fillId="0" borderId="38" xfId="0" applyFont="1" applyBorder="1" applyAlignment="1">
      <alignment horizontal="left" vertical="top" wrapText="1"/>
    </xf>
    <xf numFmtId="0" fontId="73" fillId="0" borderId="12" xfId="0" applyFont="1" applyBorder="1" applyAlignment="1">
      <alignment horizontal="left" vertical="top" wrapText="1"/>
    </xf>
    <xf numFmtId="0" fontId="73" fillId="0" borderId="69" xfId="0" applyFont="1" applyBorder="1" applyAlignment="1">
      <alignment horizontal="left" vertical="top" wrapText="1"/>
    </xf>
    <xf numFmtId="0" fontId="12" fillId="0" borderId="0" xfId="0" applyNumberFormat="1" applyFont="1" applyFill="1" applyBorder="1" applyAlignment="1" applyProtection="1">
      <alignment vertical="center" wrapText="1"/>
      <protection/>
    </xf>
    <xf numFmtId="0" fontId="0" fillId="0" borderId="0" xfId="0" applyFont="1" applyAlignment="1">
      <alignment vertical="center" wrapText="1"/>
    </xf>
    <xf numFmtId="0" fontId="4" fillId="0" borderId="75" xfId="0" applyNumberFormat="1" applyFont="1" applyFill="1" applyBorder="1" applyAlignment="1" applyProtection="1">
      <alignment horizontal="center" shrinkToFit="1"/>
      <protection/>
    </xf>
    <xf numFmtId="0" fontId="8" fillId="0" borderId="76" xfId="0" applyNumberFormat="1" applyFont="1" applyFill="1" applyBorder="1" applyAlignment="1" applyProtection="1">
      <alignment horizontal="center" wrapText="1"/>
      <protection/>
    </xf>
    <xf numFmtId="0" fontId="8" fillId="0" borderId="77" xfId="0" applyNumberFormat="1" applyFont="1" applyFill="1" applyBorder="1" applyAlignment="1" applyProtection="1">
      <alignment horizontal="center" wrapText="1"/>
      <protection/>
    </xf>
    <xf numFmtId="0" fontId="8" fillId="0" borderId="65" xfId="0" applyNumberFormat="1" applyFont="1" applyFill="1" applyBorder="1" applyAlignment="1" applyProtection="1">
      <alignment horizontal="center" wrapText="1"/>
      <protection/>
    </xf>
    <xf numFmtId="0" fontId="8" fillId="0" borderId="78" xfId="0" applyNumberFormat="1" applyFont="1" applyFill="1" applyBorder="1" applyAlignment="1" applyProtection="1">
      <alignment horizontal="center" vertical="center" wrapText="1"/>
      <protection/>
    </xf>
    <xf numFmtId="0" fontId="8" fillId="0" borderId="64" xfId="0" applyNumberFormat="1" applyFont="1" applyFill="1" applyBorder="1" applyAlignment="1" applyProtection="1">
      <alignment horizontal="center" vertical="center" wrapText="1"/>
      <protection/>
    </xf>
    <xf numFmtId="0" fontId="8" fillId="0" borderId="79"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shrinkToFit="1"/>
      <protection/>
    </xf>
    <xf numFmtId="0" fontId="8" fillId="0" borderId="80" xfId="0" applyNumberFormat="1" applyFont="1" applyFill="1" applyBorder="1" applyAlignment="1" applyProtection="1">
      <alignment horizontal="center" vertical="center"/>
      <protection/>
    </xf>
    <xf numFmtId="0" fontId="52" fillId="0" borderId="81" xfId="52" applyNumberFormat="1" applyFill="1" applyBorder="1" applyAlignment="1" applyProtection="1">
      <alignment horizontal="center"/>
      <protection/>
    </xf>
    <xf numFmtId="0" fontId="12" fillId="39" borderId="0" xfId="0" applyNumberFormat="1" applyFont="1" applyFill="1" applyBorder="1" applyAlignment="1" applyProtection="1">
      <alignment vertical="top" wrapText="1"/>
      <protection/>
    </xf>
    <xf numFmtId="0" fontId="0" fillId="39" borderId="0" xfId="0" applyFont="1" applyFill="1" applyAlignment="1">
      <alignment wrapText="1"/>
    </xf>
    <xf numFmtId="0" fontId="2" fillId="0" borderId="12" xfId="0" applyNumberFormat="1" applyFont="1" applyFill="1" applyBorder="1" applyAlignment="1" applyProtection="1">
      <alignment horizontal="right" vertical="center"/>
      <protection/>
    </xf>
    <xf numFmtId="0" fontId="58" fillId="0" borderId="12" xfId="0" applyFont="1" applyBorder="1" applyAlignment="1">
      <alignment horizontal="right" vertical="center"/>
    </xf>
    <xf numFmtId="0" fontId="2" fillId="0" borderId="12" xfId="0" applyNumberFormat="1" applyFont="1" applyFill="1" applyBorder="1" applyAlignment="1" applyProtection="1">
      <alignment horizontal="right"/>
      <protection/>
    </xf>
    <xf numFmtId="0" fontId="58" fillId="0" borderId="12" xfId="0" applyFont="1" applyBorder="1" applyAlignment="1">
      <alignment horizontal="right"/>
    </xf>
    <xf numFmtId="0" fontId="52" fillId="34" borderId="37" xfId="52" applyFont="1" applyFill="1" applyBorder="1" applyAlignment="1" applyProtection="1">
      <alignment horizontal="center"/>
      <protection/>
    </xf>
    <xf numFmtId="0" fontId="52" fillId="0" borderId="16" xfId="52" applyFont="1" applyBorder="1" applyAlignment="1" applyProtection="1">
      <alignment/>
      <protection/>
    </xf>
    <xf numFmtId="0" fontId="52" fillId="0" borderId="72" xfId="52" applyFont="1" applyBorder="1" applyAlignment="1" applyProtection="1">
      <alignment/>
      <protection/>
    </xf>
    <xf numFmtId="0" fontId="0" fillId="39" borderId="0" xfId="0" applyFill="1" applyAlignment="1">
      <alignment horizontal="left" vertical="top" wrapText="1"/>
    </xf>
    <xf numFmtId="0" fontId="0" fillId="0" borderId="0" xfId="0" applyAlignment="1">
      <alignment wrapText="1"/>
    </xf>
    <xf numFmtId="0" fontId="0" fillId="7" borderId="0" xfId="0" applyFill="1" applyAlignment="1">
      <alignment horizontal="left" vertical="top" wrapText="1"/>
    </xf>
    <xf numFmtId="0" fontId="0" fillId="7" borderId="0" xfId="0" applyFill="1" applyAlignment="1">
      <alignment wrapText="1"/>
    </xf>
    <xf numFmtId="0" fontId="0" fillId="0" borderId="0" xfId="0" applyAlignment="1">
      <alignment horizontal="left" vertical="top" wrapText="1"/>
    </xf>
    <xf numFmtId="0" fontId="0" fillId="0" borderId="0" xfId="0" applyAlignment="1">
      <alignment horizontal="left" wrapText="1"/>
    </xf>
    <xf numFmtId="0" fontId="10" fillId="0" borderId="0" xfId="0" applyNumberFormat="1" applyFont="1" applyFill="1" applyBorder="1" applyAlignment="1" applyProtection="1">
      <alignment vertical="top" wrapText="1"/>
      <protection/>
    </xf>
    <xf numFmtId="0" fontId="0" fillId="0" borderId="0" xfId="0" applyAlignment="1">
      <alignment vertical="top" wrapText="1"/>
    </xf>
    <xf numFmtId="0" fontId="10" fillId="0" borderId="11" xfId="0" applyNumberFormat="1" applyFont="1" applyFill="1" applyBorder="1" applyAlignment="1" applyProtection="1">
      <alignment vertical="top" wrapText="1"/>
      <protection/>
    </xf>
    <xf numFmtId="0" fontId="58" fillId="0" borderId="20" xfId="0" applyFont="1" applyBorder="1" applyAlignment="1" applyProtection="1">
      <alignment horizontal="left" vertical="center" wrapText="1" indent="1"/>
      <protection/>
    </xf>
    <xf numFmtId="0" fontId="58" fillId="0" borderId="21" xfId="0" applyFont="1" applyBorder="1" applyAlignment="1" applyProtection="1">
      <alignment horizontal="left" vertical="center" wrapText="1" indent="1"/>
      <protection/>
    </xf>
    <xf numFmtId="0" fontId="58" fillId="0" borderId="31" xfId="0" applyFont="1" applyBorder="1" applyAlignment="1" applyProtection="1">
      <alignment horizontal="left" vertical="center" wrapText="1" indent="1"/>
      <protection/>
    </xf>
    <xf numFmtId="0" fontId="58" fillId="0" borderId="13" xfId="0" applyFont="1" applyBorder="1" applyAlignment="1" applyProtection="1">
      <alignment horizontal="left" vertical="center" wrapText="1" indent="1"/>
      <protection/>
    </xf>
    <xf numFmtId="0" fontId="58" fillId="0" borderId="0" xfId="0" applyFont="1" applyBorder="1" applyAlignment="1" applyProtection="1">
      <alignment horizontal="left" vertical="center" wrapText="1" indent="1"/>
      <protection/>
    </xf>
    <xf numFmtId="0" fontId="58" fillId="0" borderId="26" xfId="0" applyFont="1" applyBorder="1" applyAlignment="1" applyProtection="1">
      <alignment horizontal="left" vertical="center" wrapText="1" indent="1"/>
      <protection/>
    </xf>
    <xf numFmtId="0" fontId="58" fillId="0" borderId="19" xfId="0" applyFont="1" applyBorder="1" applyAlignment="1" applyProtection="1">
      <alignment horizontal="left" vertical="center" wrapText="1" indent="1"/>
      <protection/>
    </xf>
    <xf numFmtId="0" fontId="58" fillId="0" borderId="18" xfId="0" applyFont="1" applyBorder="1" applyAlignment="1" applyProtection="1">
      <alignment horizontal="left" vertical="center" wrapText="1" indent="1"/>
      <protection/>
    </xf>
    <xf numFmtId="0" fontId="58" fillId="0" borderId="25" xfId="0" applyFont="1" applyBorder="1" applyAlignment="1" applyProtection="1">
      <alignment horizontal="left" vertical="center" wrapText="1" inden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2 2" xfId="58"/>
    <cellStyle name="Normal 2_Sheet3" xfId="59"/>
    <cellStyle name="Normal 3" xfId="60"/>
    <cellStyle name="Normal 4" xfId="61"/>
    <cellStyle name="Normal 5" xfId="62"/>
    <cellStyle name="Normal 6"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ecurity.gov/OACT/ProgData/oasdiRates.html" TargetMode="External" /><Relationship Id="rId2" Type="http://schemas.openxmlformats.org/officeDocument/2006/relationships/hyperlink" Target="http://www.taxpolicycenter.org/taxfacts/displayafact.cfm?Docid=45" TargetMode="External" /><Relationship Id="rId3" Type="http://schemas.openxmlformats.org/officeDocument/2006/relationships/hyperlink" Target="http://www.taxpolicycenter.org/taxfacts/displayafact.cfm?Docid=45" TargetMode="External" /><Relationship Id="rId4" Type="http://schemas.openxmlformats.org/officeDocument/2006/relationships/hyperlink" Target="http://www.socialsecurity.gov/OACT/COLA/awiseries.html" TargetMode="External" /><Relationship Id="rId5" Type="http://schemas.openxmlformats.org/officeDocument/2006/relationships/hyperlink" Target="http://www.socialsecurity.gov/OACT/COLA/awiseries.html" TargetMode="External" /><Relationship Id="rId6" Type="http://schemas.openxmlformats.org/officeDocument/2006/relationships/hyperlink" Target="http://www.socialsecurity.gov/OACT/COLA/Benefits.html" TargetMode="External" /><Relationship Id="rId7" Type="http://schemas.openxmlformats.org/officeDocument/2006/relationships/hyperlink" Target="http://www.socialsecurity.gov/OACT/ProgData/oasdiRates.html" TargetMode="External" /><Relationship Id="rId8" Type="http://schemas.openxmlformats.org/officeDocument/2006/relationships/hyperlink" Target="http://elsa.berkeley.edu/~saez/TabFig2010.xls" TargetMode="External" /><Relationship Id="rId9" Type="http://schemas.openxmlformats.org/officeDocument/2006/relationships/hyperlink" Target="http://emlab.berkeley.edu/users/saez/piketty-saezOUP04US.pdf" TargetMode="External" /><Relationship Id="rId10" Type="http://schemas.openxmlformats.org/officeDocument/2006/relationships/hyperlink" Target="../../../Users/Dell/AppData/Roaming/Microsoft/Excel/link%20href=%22/framework/css/noscript.css%22%20type=%22text/css%22%20rel=%22stylesheet%22%20media=%22all%22%20/" TargetMode="External" /><Relationship Id="rId11" Type="http://schemas.openxmlformats.org/officeDocument/2006/relationships/hyperlink" Target="http://www.ssa.gov/planners/maxtax.htm" TargetMode="External" /><Relationship Id="rId12" Type="http://schemas.openxmlformats.org/officeDocument/2006/relationships/hyperlink" Target="http://www.ssa.gov/planners/maxtax.htm" TargetMode="External" /><Relationship Id="rId13" Type="http://schemas.openxmlformats.org/officeDocument/2006/relationships/hyperlink" Target="http://www.socialsecurity.gov/OACT/anypia/anypia.html" TargetMode="External" /><Relationship Id="rId14" Type="http://schemas.openxmlformats.org/officeDocument/2006/relationships/hyperlink" Target="http://www.ssa.gov/oact/NOTES/as120/LifeTables_Body.html" TargetMode="External" /><Relationship Id="rId15" Type="http://schemas.openxmlformats.org/officeDocument/2006/relationships/hyperlink" Target="http://www.ssa.gov/" TargetMode="External" /><Relationship Id="rId16" Type="http://schemas.openxmlformats.org/officeDocument/2006/relationships/hyperlink" Target="http://www.ssa.gov/multilanguage/" TargetMode="External" /><Relationship Id="rId17" Type="http://schemas.openxmlformats.org/officeDocument/2006/relationships/hyperlink" Target="http://www.ssa.gov/foia/" TargetMode="External" /><Relationship Id="rId18" Type="http://schemas.openxmlformats.org/officeDocument/2006/relationships/hyperlink" Target="http://www.ssa.gov/eeo/nofear/" TargetMode="External" /><Relationship Id="rId19" Type="http://schemas.openxmlformats.org/officeDocument/2006/relationships/hyperlink" Target="http://www.ssa.gov/privacy.html" TargetMode="External" /><Relationship Id="rId20" Type="http://schemas.openxmlformats.org/officeDocument/2006/relationships/hyperlink" Target="http://www.ssa.gov/accessibility/" TargetMode="External" /><Relationship Id="rId21" Type="http://schemas.openxmlformats.org/officeDocument/2006/relationships/hyperlink" Target="http://www.ssa.gov/websitepolicies.htm" TargetMode="External" /><Relationship Id="rId22" Type="http://schemas.openxmlformats.org/officeDocument/2006/relationships/hyperlink" Target="http://www.usa.gov/" TargetMode="External" /><Relationship Id="rId23" Type="http://schemas.openxmlformats.org/officeDocument/2006/relationships/hyperlink" Target="http://www.benefits.gov/" TargetMode="External" /><Relationship Id="rId24" Type="http://schemas.openxmlformats.org/officeDocument/2006/relationships/hyperlink" Target="http://www.mymoney.gov/" TargetMode="External" /><Relationship Id="rId25" Type="http://schemas.openxmlformats.org/officeDocument/2006/relationships/hyperlink" Target="http://www.regulations.gov/" TargetMode="External" /><Relationship Id="rId26" Type="http://schemas.openxmlformats.org/officeDocument/2006/relationships/hyperlink" Target="http://www.ssa.gov/pgm/other.html" TargetMode="External" /><Relationship Id="rId27" Type="http://schemas.openxmlformats.org/officeDocument/2006/relationships/hyperlink" Target="http://www.ssa.gov/sitemap.htm" TargetMode="External" /><Relationship Id="rId28" Type="http://schemas.openxmlformats.org/officeDocument/2006/relationships/hyperlink" Target="http://www.ssa.gov/aboutus/" TargetMode="External" /><Relationship Id="rId29" Type="http://schemas.openxmlformats.org/officeDocument/2006/relationships/hyperlink" Target="http://www.socialsecurity.gov/OACT/STATS/table4c6.html" TargetMode="External" /><Relationship Id="rId30" Type="http://schemas.openxmlformats.org/officeDocument/2006/relationships/hyperlink" Target="http://www.socialsecurity.gov/OACT/ProgData/oasdiRates.html" TargetMode="External" /><Relationship Id="rId31" Type="http://schemas.openxmlformats.org/officeDocument/2006/relationships/hyperlink" Target="http://www.socialsecurity.gov/OACT/ProgData/nra.html" TargetMode="External" /><Relationship Id="rId3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T846"/>
  <sheetViews>
    <sheetView showGridLines="0" showZeros="0" tabSelected="1" zoomScale="80" zoomScaleNormal="80" zoomScalePageLayoutView="0" workbookViewId="0" topLeftCell="A1">
      <pane ySplit="1" topLeftCell="A2" activePane="bottomLeft" state="frozen"/>
      <selection pane="topLeft" activeCell="A1" sqref="A1"/>
      <selection pane="bottomLeft" activeCell="G17" sqref="G17:H17"/>
    </sheetView>
  </sheetViews>
  <sheetFormatPr defaultColWidth="0" defaultRowHeight="15" zeroHeight="1"/>
  <cols>
    <col min="1" max="1" width="2.10546875" style="2" customWidth="1"/>
    <col min="2" max="2" width="5.77734375" style="2" customWidth="1"/>
    <col min="3" max="3" width="5.3359375" style="2" customWidth="1"/>
    <col min="4" max="4" width="10.77734375" style="2" customWidth="1"/>
    <col min="5" max="5" width="12.77734375" style="2" customWidth="1"/>
    <col min="6" max="6" width="10.4453125" style="0" customWidth="1"/>
    <col min="7" max="7" width="13.5546875" style="0" customWidth="1"/>
    <col min="8" max="8" width="9.5546875" style="0" customWidth="1"/>
    <col min="9" max="9" width="9.88671875" style="0" customWidth="1"/>
    <col min="10" max="10" width="10.4453125" style="0" customWidth="1"/>
    <col min="11" max="11" width="10.77734375" style="0" customWidth="1"/>
    <col min="12" max="12" width="11.77734375" style="0" customWidth="1"/>
    <col min="13" max="13" width="13.4453125" style="0" customWidth="1"/>
    <col min="14" max="14" width="8.6640625" style="0" customWidth="1"/>
    <col min="15" max="15" width="11.3359375" style="0" customWidth="1"/>
    <col min="16" max="19" width="10.6640625" style="0" customWidth="1"/>
    <col min="20" max="21" width="10.6640625" style="3" customWidth="1"/>
    <col min="22" max="22" width="10.6640625" style="0" customWidth="1"/>
    <col min="23" max="23" width="10.6640625" style="159" customWidth="1"/>
    <col min="24" max="25" width="10.6640625" style="155" customWidth="1"/>
    <col min="26" max="26" width="3.10546875" style="155" customWidth="1"/>
    <col min="27" max="254" width="3.4453125" style="155" hidden="1" customWidth="1"/>
    <col min="255" max="16384" width="3.4453125" style="0" hidden="1" customWidth="1"/>
  </cols>
  <sheetData>
    <row r="1" spans="2:25" s="24" customFormat="1" ht="33" customHeight="1" thickBot="1">
      <c r="B1" s="54" t="s">
        <v>0</v>
      </c>
      <c r="C1" s="152" t="s">
        <v>1</v>
      </c>
      <c r="D1" s="77" t="s">
        <v>58</v>
      </c>
      <c r="E1" s="77" t="s">
        <v>91</v>
      </c>
      <c r="F1" s="77" t="s">
        <v>120</v>
      </c>
      <c r="G1" s="77" t="s">
        <v>90</v>
      </c>
      <c r="H1" s="77" t="s">
        <v>79</v>
      </c>
      <c r="I1" s="153" t="s">
        <v>69</v>
      </c>
      <c r="J1" s="77" t="s">
        <v>89</v>
      </c>
      <c r="K1" s="153" t="s">
        <v>88</v>
      </c>
      <c r="L1" s="153" t="s">
        <v>70</v>
      </c>
      <c r="M1" s="77" t="s">
        <v>68</v>
      </c>
      <c r="N1" s="77" t="s">
        <v>59</v>
      </c>
      <c r="O1" s="124" t="s">
        <v>2</v>
      </c>
      <c r="P1" s="124" t="s">
        <v>3</v>
      </c>
      <c r="Q1" s="124" t="s">
        <v>4</v>
      </c>
      <c r="R1" s="124" t="s">
        <v>209</v>
      </c>
      <c r="S1" s="125" t="s">
        <v>6</v>
      </c>
      <c r="T1" s="126" t="s">
        <v>115</v>
      </c>
      <c r="U1" s="154" t="s">
        <v>60</v>
      </c>
      <c r="V1" s="190" t="s">
        <v>182</v>
      </c>
      <c r="W1" s="190" t="s">
        <v>201</v>
      </c>
      <c r="X1" s="190" t="s">
        <v>195</v>
      </c>
      <c r="Y1" s="190" t="s">
        <v>204</v>
      </c>
    </row>
    <row r="2" spans="2:25" s="24" customFormat="1" ht="15.75" thickBot="1">
      <c r="B2" s="266"/>
      <c r="C2" s="149"/>
      <c r="D2" s="150"/>
      <c r="E2" s="150"/>
      <c r="F2" s="150"/>
      <c r="G2" s="150"/>
      <c r="H2" s="150"/>
      <c r="I2" s="151"/>
      <c r="J2" s="150"/>
      <c r="K2" s="151"/>
      <c r="L2" s="151"/>
      <c r="M2" s="150"/>
      <c r="N2" s="150"/>
      <c r="O2" s="267"/>
      <c r="P2" s="267"/>
      <c r="Q2" s="267"/>
      <c r="R2" s="267"/>
      <c r="S2" s="267"/>
      <c r="T2" s="268"/>
      <c r="U2" s="149"/>
      <c r="V2" s="183"/>
      <c r="W2" s="183"/>
      <c r="X2" s="183"/>
      <c r="Y2" s="183"/>
    </row>
    <row r="3" spans="2:25" s="24" customFormat="1" ht="15" customHeight="1">
      <c r="B3" s="283" t="s">
        <v>210</v>
      </c>
      <c r="C3" s="284"/>
      <c r="D3" s="284"/>
      <c r="E3" s="284"/>
      <c r="F3" s="284"/>
      <c r="G3" s="284"/>
      <c r="H3" s="284"/>
      <c r="I3" s="284"/>
      <c r="J3" s="284"/>
      <c r="K3" s="284"/>
      <c r="L3" s="284"/>
      <c r="M3" s="285"/>
      <c r="N3" s="289" t="s">
        <v>192</v>
      </c>
      <c r="O3" s="290"/>
      <c r="P3" s="290"/>
      <c r="Q3" s="290"/>
      <c r="R3" s="290"/>
      <c r="S3" s="290"/>
      <c r="T3" s="290"/>
      <c r="U3" s="291"/>
      <c r="V3" s="336" t="s">
        <v>193</v>
      </c>
      <c r="W3" s="337"/>
      <c r="X3" s="337"/>
      <c r="Y3" s="338"/>
    </row>
    <row r="4" spans="2:25" s="24" customFormat="1" ht="15" customHeight="1" thickBot="1">
      <c r="B4" s="286"/>
      <c r="C4" s="287"/>
      <c r="D4" s="287"/>
      <c r="E4" s="287"/>
      <c r="F4" s="287"/>
      <c r="G4" s="287"/>
      <c r="H4" s="287"/>
      <c r="I4" s="287"/>
      <c r="J4" s="287"/>
      <c r="K4" s="287"/>
      <c r="L4" s="287"/>
      <c r="M4" s="288"/>
      <c r="N4" s="292"/>
      <c r="O4" s="293"/>
      <c r="P4" s="293"/>
      <c r="Q4" s="293"/>
      <c r="R4" s="293"/>
      <c r="S4" s="293"/>
      <c r="T4" s="293"/>
      <c r="U4" s="294"/>
      <c r="V4" s="339"/>
      <c r="W4" s="340"/>
      <c r="X4" s="340"/>
      <c r="Y4" s="341"/>
    </row>
    <row r="5" spans="2:254" s="13" customFormat="1" ht="15" customHeight="1">
      <c r="B5" s="351" t="s">
        <v>197</v>
      </c>
      <c r="C5" s="352"/>
      <c r="D5" s="352"/>
      <c r="E5" s="352"/>
      <c r="F5" s="352"/>
      <c r="G5" s="352"/>
      <c r="H5" s="352"/>
      <c r="I5" s="352"/>
      <c r="J5" s="352"/>
      <c r="K5" s="352"/>
      <c r="L5" s="352"/>
      <c r="M5" s="352"/>
      <c r="N5" s="314" t="s">
        <v>198</v>
      </c>
      <c r="O5" s="315"/>
      <c r="P5" s="315"/>
      <c r="Q5" s="315"/>
      <c r="R5" s="315"/>
      <c r="S5" s="315"/>
      <c r="T5" s="315"/>
      <c r="U5" s="316"/>
      <c r="V5" s="332" t="s">
        <v>182</v>
      </c>
      <c r="W5" s="334" t="s">
        <v>202</v>
      </c>
      <c r="X5" s="334" t="s">
        <v>203</v>
      </c>
      <c r="Y5" s="332" t="s">
        <v>204</v>
      </c>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row>
    <row r="6" spans="2:25" s="29" customFormat="1" ht="15" customHeight="1" thickBot="1">
      <c r="B6" s="353"/>
      <c r="C6" s="354"/>
      <c r="D6" s="354"/>
      <c r="E6" s="354"/>
      <c r="F6" s="354"/>
      <c r="G6" s="354"/>
      <c r="H6" s="354"/>
      <c r="I6" s="354"/>
      <c r="J6" s="354"/>
      <c r="K6" s="354"/>
      <c r="L6" s="354"/>
      <c r="M6" s="355"/>
      <c r="N6" s="317"/>
      <c r="O6" s="318"/>
      <c r="P6" s="318"/>
      <c r="Q6" s="318"/>
      <c r="R6" s="318"/>
      <c r="S6" s="318"/>
      <c r="T6" s="318"/>
      <c r="U6" s="319"/>
      <c r="V6" s="333"/>
      <c r="W6" s="335"/>
      <c r="X6" s="335"/>
      <c r="Y6" s="333"/>
    </row>
    <row r="7" spans="2:25" s="29" customFormat="1" ht="15" customHeight="1">
      <c r="B7" s="353"/>
      <c r="C7" s="354"/>
      <c r="D7" s="354"/>
      <c r="E7" s="354"/>
      <c r="F7" s="354"/>
      <c r="G7" s="354"/>
      <c r="H7" s="354"/>
      <c r="I7" s="354"/>
      <c r="J7" s="354"/>
      <c r="K7" s="354"/>
      <c r="L7" s="354"/>
      <c r="M7" s="355"/>
      <c r="N7" s="317"/>
      <c r="O7" s="318"/>
      <c r="P7" s="318"/>
      <c r="Q7" s="318"/>
      <c r="R7" s="318"/>
      <c r="S7" s="318"/>
      <c r="T7" s="318"/>
      <c r="U7" s="319"/>
      <c r="V7" s="143">
        <v>1</v>
      </c>
      <c r="W7" s="184">
        <f>$Q$16</f>
        <v>2349</v>
      </c>
      <c r="X7" s="184">
        <f>$Q$16</f>
        <v>2349</v>
      </c>
      <c r="Y7" s="184">
        <f>$Q$16/2</f>
        <v>1174.5</v>
      </c>
    </row>
    <row r="8" spans="2:25" s="29" customFormat="1" ht="15" customHeight="1">
      <c r="B8" s="353"/>
      <c r="C8" s="354"/>
      <c r="D8" s="354"/>
      <c r="E8" s="354"/>
      <c r="F8" s="354"/>
      <c r="G8" s="354"/>
      <c r="H8" s="354"/>
      <c r="I8" s="354"/>
      <c r="J8" s="354"/>
      <c r="K8" s="354"/>
      <c r="L8" s="354"/>
      <c r="M8" s="355"/>
      <c r="N8" s="317"/>
      <c r="O8" s="318"/>
      <c r="P8" s="318"/>
      <c r="Q8" s="318"/>
      <c r="R8" s="318"/>
      <c r="S8" s="318"/>
      <c r="T8" s="318"/>
      <c r="U8" s="319"/>
      <c r="V8" s="144">
        <f>1+V7</f>
        <v>2</v>
      </c>
      <c r="W8" s="184">
        <f>IF($V8&lt;12*$Q$17,W7+$Q$16*POWER(1+$Q$15/12,-($V8-1)),0)</f>
        <v>4688.253112033195</v>
      </c>
      <c r="X8" s="184">
        <f>IF($V8&lt;12*$Q$18,X7+$Q$16*POWER(1+$Q$15/12,-($V8-1)),0)</f>
        <v>4688.253112033195</v>
      </c>
      <c r="Y8" s="184">
        <f>IF(AND($V8&lt;12*$Q$17,$V8&lt;12*$Q$18),Y7+($Q$16/2)*POWER(1+$Q$15/12,-($V8-1)),0)</f>
        <v>2344.1265560165975</v>
      </c>
    </row>
    <row r="9" spans="2:25" s="30" customFormat="1" ht="15" customHeight="1">
      <c r="B9" s="353"/>
      <c r="C9" s="354"/>
      <c r="D9" s="354"/>
      <c r="E9" s="354"/>
      <c r="F9" s="354"/>
      <c r="G9" s="354"/>
      <c r="H9" s="354"/>
      <c r="I9" s="354"/>
      <c r="J9" s="354"/>
      <c r="K9" s="354"/>
      <c r="L9" s="354"/>
      <c r="M9" s="355"/>
      <c r="N9" s="317"/>
      <c r="O9" s="318"/>
      <c r="P9" s="318"/>
      <c r="Q9" s="318"/>
      <c r="R9" s="318"/>
      <c r="S9" s="318"/>
      <c r="T9" s="318"/>
      <c r="U9" s="319"/>
      <c r="V9" s="144">
        <f aca="true" t="shared" si="0" ref="V9:V72">1+V8</f>
        <v>3</v>
      </c>
      <c r="W9" s="184">
        <f aca="true" t="shared" si="1" ref="W9:W72">IF($V9&lt;12*$Q$17,W8+$Q$16*POWER(1+$Q$15/12,-($V9-1)),0)</f>
        <v>7017.799779618119</v>
      </c>
      <c r="X9" s="184">
        <f aca="true" t="shared" si="2" ref="X9:X72">IF($V9&lt;12*$Q$18,X8+$Q$16*POWER(1+$Q$15/12,-($V9-1)),0)</f>
        <v>7017.799779618119</v>
      </c>
      <c r="Y9" s="184">
        <f aca="true" t="shared" si="3" ref="Y9:Y72">IF(AND($V9&lt;12*$Q$17,$V9&lt;12*$Q$18),Y8+($Q$16/2)*POWER(1+$Q$15/12,-($V9-1)),0)</f>
        <v>3508.8998898090595</v>
      </c>
    </row>
    <row r="10" spans="2:25" s="30" customFormat="1" ht="15" customHeight="1">
      <c r="B10" s="353"/>
      <c r="C10" s="354"/>
      <c r="D10" s="354"/>
      <c r="E10" s="354"/>
      <c r="F10" s="354"/>
      <c r="G10" s="354"/>
      <c r="H10" s="354"/>
      <c r="I10" s="354"/>
      <c r="J10" s="354"/>
      <c r="K10" s="354"/>
      <c r="L10" s="354"/>
      <c r="M10" s="355"/>
      <c r="N10" s="317"/>
      <c r="O10" s="318"/>
      <c r="P10" s="318"/>
      <c r="Q10" s="318"/>
      <c r="R10" s="318"/>
      <c r="S10" s="318"/>
      <c r="T10" s="318"/>
      <c r="U10" s="319"/>
      <c r="V10" s="144">
        <f t="shared" si="0"/>
        <v>4</v>
      </c>
      <c r="W10" s="184">
        <f t="shared" si="1"/>
        <v>9337.680278457878</v>
      </c>
      <c r="X10" s="184">
        <f t="shared" si="2"/>
        <v>9337.680278457878</v>
      </c>
      <c r="Y10" s="184">
        <f t="shared" si="3"/>
        <v>4668.840139228939</v>
      </c>
    </row>
    <row r="11" spans="2:25" s="30" customFormat="1" ht="15" customHeight="1">
      <c r="B11" s="353"/>
      <c r="C11" s="354"/>
      <c r="D11" s="354"/>
      <c r="E11" s="354"/>
      <c r="F11" s="354"/>
      <c r="G11" s="354"/>
      <c r="H11" s="354"/>
      <c r="I11" s="354"/>
      <c r="J11" s="354"/>
      <c r="K11" s="354"/>
      <c r="L11" s="354"/>
      <c r="M11" s="355"/>
      <c r="N11" s="317"/>
      <c r="O11" s="318"/>
      <c r="P11" s="318"/>
      <c r="Q11" s="318"/>
      <c r="R11" s="318"/>
      <c r="S11" s="318"/>
      <c r="T11" s="318"/>
      <c r="U11" s="319"/>
      <c r="V11" s="144">
        <f t="shared" si="0"/>
        <v>5</v>
      </c>
      <c r="W11" s="184">
        <f t="shared" si="1"/>
        <v>11647.934717136475</v>
      </c>
      <c r="X11" s="184">
        <f t="shared" si="2"/>
        <v>11647.934717136475</v>
      </c>
      <c r="Y11" s="184">
        <f t="shared" si="3"/>
        <v>5823.967358568238</v>
      </c>
    </row>
    <row r="12" spans="1:254" s="21" customFormat="1" ht="15.75" customHeight="1">
      <c r="A12" s="111"/>
      <c r="B12" s="353"/>
      <c r="C12" s="354"/>
      <c r="D12" s="354"/>
      <c r="E12" s="354"/>
      <c r="F12" s="354"/>
      <c r="G12" s="354"/>
      <c r="H12" s="354"/>
      <c r="I12" s="354"/>
      <c r="J12" s="354"/>
      <c r="K12" s="354"/>
      <c r="L12" s="354"/>
      <c r="M12" s="355"/>
      <c r="N12" s="317"/>
      <c r="O12" s="318"/>
      <c r="P12" s="318"/>
      <c r="Q12" s="318"/>
      <c r="R12" s="318"/>
      <c r="S12" s="318"/>
      <c r="T12" s="318"/>
      <c r="U12" s="319"/>
      <c r="V12" s="144">
        <f t="shared" si="0"/>
        <v>6</v>
      </c>
      <c r="W12" s="184">
        <f t="shared" si="1"/>
        <v>13948.603037812258</v>
      </c>
      <c r="X12" s="184">
        <f t="shared" si="2"/>
        <v>13948.603037812258</v>
      </c>
      <c r="Y12" s="184">
        <f t="shared" si="3"/>
        <v>6974.301518906129</v>
      </c>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6"/>
      <c r="IL12" s="156"/>
      <c r="IM12" s="156"/>
      <c r="IN12" s="156"/>
      <c r="IO12" s="156"/>
      <c r="IP12" s="156"/>
      <c r="IQ12" s="156"/>
      <c r="IR12" s="156"/>
      <c r="IS12" s="156"/>
      <c r="IT12" s="156"/>
    </row>
    <row r="13" spans="1:254" s="21" customFormat="1" ht="15" customHeight="1" thickBot="1">
      <c r="A13" s="111"/>
      <c r="B13" s="356"/>
      <c r="C13" s="357"/>
      <c r="D13" s="357"/>
      <c r="E13" s="357"/>
      <c r="F13" s="357"/>
      <c r="G13" s="357"/>
      <c r="H13" s="357"/>
      <c r="I13" s="357"/>
      <c r="J13" s="357"/>
      <c r="K13" s="357"/>
      <c r="L13" s="357"/>
      <c r="M13" s="357"/>
      <c r="N13" s="320"/>
      <c r="O13" s="321"/>
      <c r="P13" s="321"/>
      <c r="Q13" s="321"/>
      <c r="R13" s="321"/>
      <c r="S13" s="321"/>
      <c r="T13" s="321"/>
      <c r="U13" s="322"/>
      <c r="V13" s="144">
        <f t="shared" si="0"/>
        <v>7</v>
      </c>
      <c r="W13" s="184">
        <f t="shared" si="1"/>
        <v>16239.725016908473</v>
      </c>
      <c r="X13" s="184">
        <f t="shared" si="2"/>
        <v>16239.725016908473</v>
      </c>
      <c r="Y13" s="184">
        <f t="shared" si="3"/>
        <v>8119.862508454236</v>
      </c>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6"/>
      <c r="IL13" s="156"/>
      <c r="IM13" s="156"/>
      <c r="IN13" s="156"/>
      <c r="IO13" s="156"/>
      <c r="IP13" s="156"/>
      <c r="IQ13" s="156"/>
      <c r="IR13" s="156"/>
      <c r="IS13" s="156"/>
      <c r="IT13" s="156"/>
    </row>
    <row r="14" spans="1:254" s="21" customFormat="1" ht="15" customHeight="1" thickBot="1">
      <c r="A14" s="111"/>
      <c r="B14" s="323" t="s">
        <v>78</v>
      </c>
      <c r="C14" s="348"/>
      <c r="D14" s="348"/>
      <c r="E14" s="361"/>
      <c r="F14" s="110" t="s">
        <v>48</v>
      </c>
      <c r="G14" s="360" t="s">
        <v>117</v>
      </c>
      <c r="H14" s="361"/>
      <c r="I14" s="31" t="s">
        <v>75</v>
      </c>
      <c r="J14" s="32" t="s">
        <v>73</v>
      </c>
      <c r="K14" s="33" t="s">
        <v>47</v>
      </c>
      <c r="L14" s="33" t="s">
        <v>74</v>
      </c>
      <c r="M14" s="165" t="s">
        <v>116</v>
      </c>
      <c r="N14" s="270"/>
      <c r="O14" s="174" t="s">
        <v>185</v>
      </c>
      <c r="P14" s="173"/>
      <c r="Q14" s="176" t="s">
        <v>48</v>
      </c>
      <c r="R14" s="308" t="s">
        <v>179</v>
      </c>
      <c r="S14" s="309"/>
      <c r="T14" s="330" t="s">
        <v>186</v>
      </c>
      <c r="U14" s="331"/>
      <c r="V14" s="144">
        <f t="shared" si="0"/>
        <v>8</v>
      </c>
      <c r="W14" s="184">
        <f t="shared" si="1"/>
        <v>18521.34026580097</v>
      </c>
      <c r="X14" s="184">
        <f t="shared" si="2"/>
        <v>18521.34026580097</v>
      </c>
      <c r="Y14" s="184">
        <f t="shared" si="3"/>
        <v>9260.670132900485</v>
      </c>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row>
    <row r="15" spans="1:254" s="21" customFormat="1" ht="15.75" thickBot="1">
      <c r="A15" s="111"/>
      <c r="B15" s="109"/>
      <c r="C15" s="44"/>
      <c r="D15" s="44"/>
      <c r="E15" s="71" t="s">
        <v>212</v>
      </c>
      <c r="F15" s="160">
        <v>1948</v>
      </c>
      <c r="G15" s="364" t="s">
        <v>123</v>
      </c>
      <c r="H15" s="365"/>
      <c r="I15" s="100" t="s">
        <v>72</v>
      </c>
      <c r="J15" s="34">
        <f>MAX($F$29:$F$204)</f>
        <v>249256.16999999995</v>
      </c>
      <c r="K15" s="34">
        <f>L15-J15</f>
        <v>331415.8576816295</v>
      </c>
      <c r="L15" s="69">
        <f>MAX($I$30:$I$204)</f>
        <v>580672.0276816294</v>
      </c>
      <c r="M15" s="166">
        <f>MAX($F$29:$F$204)/$M$20</f>
        <v>0.10417359886320891</v>
      </c>
      <c r="N15" s="175"/>
      <c r="O15" s="177"/>
      <c r="P15" s="178" t="s">
        <v>187</v>
      </c>
      <c r="Q15" s="185">
        <v>0.05</v>
      </c>
      <c r="R15" s="310" t="s">
        <v>205</v>
      </c>
      <c r="S15" s="311"/>
      <c r="T15" s="326">
        <f>MAX($W$7:$W$846)</f>
        <v>325725.263499896</v>
      </c>
      <c r="U15" s="327"/>
      <c r="V15" s="280">
        <f t="shared" si="0"/>
        <v>9</v>
      </c>
      <c r="W15" s="184">
        <f t="shared" si="1"/>
        <v>20793.48823150304</v>
      </c>
      <c r="X15" s="184">
        <f t="shared" si="2"/>
        <v>20793.48823150304</v>
      </c>
      <c r="Y15" s="184">
        <f t="shared" si="3"/>
        <v>10396.74411575152</v>
      </c>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6"/>
      <c r="IL15" s="156"/>
      <c r="IM15" s="156"/>
      <c r="IN15" s="156"/>
      <c r="IO15" s="156"/>
      <c r="IP15" s="156"/>
      <c r="IQ15" s="156"/>
      <c r="IR15" s="156"/>
      <c r="IS15" s="156"/>
      <c r="IT15" s="156"/>
    </row>
    <row r="16" spans="1:254" s="21" customFormat="1" ht="15.75" thickBot="1">
      <c r="A16" s="111"/>
      <c r="B16" s="19"/>
      <c r="C16" s="20"/>
      <c r="D16" s="20"/>
      <c r="E16" s="72" t="s">
        <v>13</v>
      </c>
      <c r="F16" s="161">
        <v>1964</v>
      </c>
      <c r="G16" s="362" t="s">
        <v>118</v>
      </c>
      <c r="H16" s="363"/>
      <c r="I16" s="101" t="s">
        <v>76</v>
      </c>
      <c r="J16" s="27">
        <f>MAX($G$29:$G$204)</f>
        <v>38038.21000000001</v>
      </c>
      <c r="K16" s="27">
        <f>L16-J16</f>
        <v>44446.44176201073</v>
      </c>
      <c r="L16" s="57">
        <f>MAX($J$29:$J$204)</f>
        <v>82484.65176201073</v>
      </c>
      <c r="M16" s="167">
        <f>MAX($G$29:$G$204)/$M$20</f>
        <v>0.01589760939524387</v>
      </c>
      <c r="N16" s="62"/>
      <c r="O16" s="179"/>
      <c r="P16" s="180" t="s">
        <v>196</v>
      </c>
      <c r="Q16" s="186">
        <v>2349</v>
      </c>
      <c r="R16" s="312" t="s">
        <v>206</v>
      </c>
      <c r="S16" s="313"/>
      <c r="T16" s="328">
        <f>MAX($X$8:$X$846)</f>
        <v>355673.28305796435</v>
      </c>
      <c r="U16" s="329"/>
      <c r="V16" s="280">
        <f t="shared" si="0"/>
        <v>10</v>
      </c>
      <c r="W16" s="184">
        <f t="shared" si="1"/>
        <v>23056.208197347427</v>
      </c>
      <c r="X16" s="184">
        <f t="shared" si="2"/>
        <v>23056.208197347427</v>
      </c>
      <c r="Y16" s="184">
        <f t="shared" si="3"/>
        <v>11528.104098673713</v>
      </c>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56"/>
      <c r="ET16" s="156"/>
      <c r="EU16" s="156"/>
      <c r="EV16" s="156"/>
      <c r="EW16" s="156"/>
      <c r="EX16" s="156"/>
      <c r="EY16" s="156"/>
      <c r="EZ16" s="156"/>
      <c r="FA16" s="156"/>
      <c r="FB16" s="156"/>
      <c r="FC16" s="156"/>
      <c r="FD16" s="156"/>
      <c r="FE16" s="156"/>
      <c r="FF16" s="156"/>
      <c r="FG16" s="156"/>
      <c r="FH16" s="156"/>
      <c r="FI16" s="156"/>
      <c r="FJ16" s="156"/>
      <c r="FK16" s="156"/>
      <c r="FL16" s="156"/>
      <c r="FM16" s="156"/>
      <c r="FN16" s="156"/>
      <c r="FO16" s="156"/>
      <c r="FP16" s="156"/>
      <c r="FQ16" s="156"/>
      <c r="FR16" s="156"/>
      <c r="FS16" s="156"/>
      <c r="FT16" s="156"/>
      <c r="FU16" s="156"/>
      <c r="FV16" s="156"/>
      <c r="FW16" s="156"/>
      <c r="FX16" s="156"/>
      <c r="FY16" s="156"/>
      <c r="FZ16" s="156"/>
      <c r="GA16" s="156"/>
      <c r="GB16" s="156"/>
      <c r="GC16" s="156"/>
      <c r="GD16" s="156"/>
      <c r="GE16" s="156"/>
      <c r="GF16" s="156"/>
      <c r="GG16" s="156"/>
      <c r="GH16" s="156"/>
      <c r="GI16" s="156"/>
      <c r="GJ16" s="156"/>
      <c r="GK16" s="156"/>
      <c r="GL16" s="156"/>
      <c r="GM16" s="156"/>
      <c r="GN16" s="156"/>
      <c r="GO16" s="156"/>
      <c r="GP16" s="156"/>
      <c r="GQ16" s="156"/>
      <c r="GR16" s="156"/>
      <c r="GS16" s="156"/>
      <c r="GT16" s="156"/>
      <c r="GU16" s="156"/>
      <c r="GV16" s="156"/>
      <c r="GW16" s="156"/>
      <c r="GX16" s="156"/>
      <c r="GY16" s="156"/>
      <c r="GZ16" s="156"/>
      <c r="HA16" s="156"/>
      <c r="HB16" s="156"/>
      <c r="HC16" s="156"/>
      <c r="HD16" s="156"/>
      <c r="HE16" s="156"/>
      <c r="HF16" s="156"/>
      <c r="HG16" s="156"/>
      <c r="HH16" s="156"/>
      <c r="HI16" s="156"/>
      <c r="HJ16" s="156"/>
      <c r="HK16" s="156"/>
      <c r="HL16" s="156"/>
      <c r="HM16" s="156"/>
      <c r="HN16" s="156"/>
      <c r="HO16" s="156"/>
      <c r="HP16" s="156"/>
      <c r="HQ16" s="156"/>
      <c r="HR16" s="156"/>
      <c r="HS16" s="156"/>
      <c r="HT16" s="156"/>
      <c r="HU16" s="156"/>
      <c r="HV16" s="156"/>
      <c r="HW16" s="156"/>
      <c r="HX16" s="156"/>
      <c r="HY16" s="156"/>
      <c r="HZ16" s="156"/>
      <c r="IA16" s="156"/>
      <c r="IB16" s="156"/>
      <c r="IC16" s="156"/>
      <c r="ID16" s="156"/>
      <c r="IE16" s="156"/>
      <c r="IF16" s="156"/>
      <c r="IG16" s="156"/>
      <c r="IH16" s="156"/>
      <c r="II16" s="156"/>
      <c r="IJ16" s="156"/>
      <c r="IK16" s="156"/>
      <c r="IL16" s="156"/>
      <c r="IM16" s="156"/>
      <c r="IN16" s="156"/>
      <c r="IO16" s="156"/>
      <c r="IP16" s="156"/>
      <c r="IQ16" s="156"/>
      <c r="IR16" s="156"/>
      <c r="IS16" s="156"/>
      <c r="IT16" s="156"/>
    </row>
    <row r="17" spans="1:25" s="28" customFormat="1" ht="15.75" thickBot="1">
      <c r="A17" s="111"/>
      <c r="B17" s="19"/>
      <c r="C17" s="20"/>
      <c r="D17" s="20"/>
      <c r="E17" s="72" t="s">
        <v>66</v>
      </c>
      <c r="F17" s="162">
        <v>49</v>
      </c>
      <c r="G17" s="358" t="s">
        <v>125</v>
      </c>
      <c r="H17" s="359"/>
      <c r="I17" s="102" t="s">
        <v>183</v>
      </c>
      <c r="J17" s="35">
        <f>MAX($H$29:$H$204)</f>
        <v>66372.9</v>
      </c>
      <c r="K17" s="35">
        <f>L17-J17</f>
        <v>81423.49432700529</v>
      </c>
      <c r="L17" s="58">
        <f>MAX($K$29:$K$204)</f>
        <v>147796.39432700528</v>
      </c>
      <c r="M17" s="168">
        <f>MAX($H$29:$H$204)/$M$20</f>
        <v>0.02773975007313913</v>
      </c>
      <c r="N17" s="62"/>
      <c r="O17" s="181"/>
      <c r="P17" s="182" t="s">
        <v>188</v>
      </c>
      <c r="Q17" s="187">
        <v>17.19</v>
      </c>
      <c r="R17" s="312" t="s">
        <v>208</v>
      </c>
      <c r="S17" s="313"/>
      <c r="T17" s="328">
        <f>MAX(Y7:Y846)</f>
        <v>162862.631749948</v>
      </c>
      <c r="U17" s="329"/>
      <c r="V17" s="280">
        <f t="shared" si="0"/>
        <v>11</v>
      </c>
      <c r="W17" s="184">
        <f t="shared" si="1"/>
        <v>25309.539283665486</v>
      </c>
      <c r="X17" s="184">
        <f t="shared" si="2"/>
        <v>25309.539283665486</v>
      </c>
      <c r="Y17" s="184">
        <f t="shared" si="3"/>
        <v>12654.769641832743</v>
      </c>
    </row>
    <row r="18" spans="1:254" s="21" customFormat="1" ht="15.75" thickBot="1">
      <c r="A18" s="111"/>
      <c r="B18" s="19"/>
      <c r="C18" s="20"/>
      <c r="D18" s="20"/>
      <c r="E18" s="73" t="s">
        <v>67</v>
      </c>
      <c r="F18" s="282">
        <v>5464.207508254978</v>
      </c>
      <c r="G18" s="75" t="s">
        <v>122</v>
      </c>
      <c r="H18" s="70">
        <v>3</v>
      </c>
      <c r="I18" s="103" t="s">
        <v>5</v>
      </c>
      <c r="J18" s="67">
        <f>SUM(J15:J17)</f>
        <v>353667.2799999999</v>
      </c>
      <c r="K18" s="67">
        <f>L18-J18</f>
        <v>457285.7937706455</v>
      </c>
      <c r="L18" s="68">
        <f>LOOKUP(($F$16+$F$17-1),$B$29:$B$204,$L$29:$L$204)</f>
        <v>810953.0737706454</v>
      </c>
      <c r="M18" s="169">
        <f>SUM(M15:M17)</f>
        <v>0.1478109583315919</v>
      </c>
      <c r="N18" s="62"/>
      <c r="O18" s="181"/>
      <c r="P18" s="182" t="s">
        <v>189</v>
      </c>
      <c r="Q18" s="281">
        <v>19.89</v>
      </c>
      <c r="R18" s="312" t="s">
        <v>207</v>
      </c>
      <c r="S18" s="313"/>
      <c r="T18" s="328">
        <f>MAX($T$15:$U$16)+MAX(Y8:Y847)</f>
        <v>518535.9148079123</v>
      </c>
      <c r="U18" s="329"/>
      <c r="V18" s="280">
        <f t="shared" si="0"/>
        <v>12</v>
      </c>
      <c r="W18" s="184">
        <f t="shared" si="1"/>
        <v>27553.520448463554</v>
      </c>
      <c r="X18" s="184">
        <f t="shared" si="2"/>
        <v>27553.520448463554</v>
      </c>
      <c r="Y18" s="184">
        <f t="shared" si="3"/>
        <v>13776.760224231777</v>
      </c>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156"/>
      <c r="CM18" s="156"/>
      <c r="CN18" s="156"/>
      <c r="CO18" s="156"/>
      <c r="CP18" s="156"/>
      <c r="CQ18" s="156"/>
      <c r="CR18" s="156"/>
      <c r="CS18" s="156"/>
      <c r="CT18" s="156"/>
      <c r="CU18" s="156"/>
      <c r="CV18" s="156"/>
      <c r="CW18" s="156"/>
      <c r="CX18" s="156"/>
      <c r="CY18" s="156"/>
      <c r="CZ18" s="156"/>
      <c r="DA18" s="156"/>
      <c r="DB18" s="156"/>
      <c r="DC18" s="156"/>
      <c r="DD18" s="156"/>
      <c r="DE18" s="156"/>
      <c r="DF18" s="156"/>
      <c r="DG18" s="156"/>
      <c r="DH18" s="156"/>
      <c r="DI18" s="156"/>
      <c r="DJ18" s="156"/>
      <c r="DK18" s="156"/>
      <c r="DL18" s="156"/>
      <c r="DM18" s="156"/>
      <c r="DN18" s="156"/>
      <c r="DO18" s="156"/>
      <c r="DP18" s="156"/>
      <c r="DQ18" s="156"/>
      <c r="DR18" s="156"/>
      <c r="DS18" s="156"/>
      <c r="DT18" s="156"/>
      <c r="DU18" s="156"/>
      <c r="DV18" s="156"/>
      <c r="DW18" s="156"/>
      <c r="DX18" s="156"/>
      <c r="DY18" s="156"/>
      <c r="DZ18" s="156"/>
      <c r="EA18" s="156"/>
      <c r="EB18" s="156"/>
      <c r="EC18" s="156"/>
      <c r="ED18" s="156"/>
      <c r="EE18" s="156"/>
      <c r="EF18" s="156"/>
      <c r="EG18" s="156"/>
      <c r="EH18" s="156"/>
      <c r="EI18" s="156"/>
      <c r="EJ18" s="156"/>
      <c r="EK18" s="156"/>
      <c r="EL18" s="156"/>
      <c r="EM18" s="156"/>
      <c r="EN18" s="156"/>
      <c r="EO18" s="156"/>
      <c r="EP18" s="156"/>
      <c r="EQ18" s="156"/>
      <c r="ER18" s="156"/>
      <c r="ES18" s="156"/>
      <c r="ET18" s="156"/>
      <c r="EU18" s="156"/>
      <c r="EV18" s="156"/>
      <c r="EW18" s="156"/>
      <c r="EX18" s="156"/>
      <c r="EY18" s="156"/>
      <c r="EZ18" s="156"/>
      <c r="FA18" s="156"/>
      <c r="FB18" s="156"/>
      <c r="FC18" s="156"/>
      <c r="FD18" s="156"/>
      <c r="FE18" s="156"/>
      <c r="FF18" s="156"/>
      <c r="FG18" s="156"/>
      <c r="FH18" s="156"/>
      <c r="FI18" s="156"/>
      <c r="FJ18" s="156"/>
      <c r="FK18" s="156"/>
      <c r="FL18" s="156"/>
      <c r="FM18" s="156"/>
      <c r="FN18" s="156"/>
      <c r="FO18" s="156"/>
      <c r="FP18" s="156"/>
      <c r="FQ18" s="156"/>
      <c r="FR18" s="156"/>
      <c r="FS18" s="156"/>
      <c r="FT18" s="156"/>
      <c r="FU18" s="156"/>
      <c r="FV18" s="156"/>
      <c r="FW18" s="156"/>
      <c r="FX18" s="156"/>
      <c r="FY18" s="156"/>
      <c r="FZ18" s="156"/>
      <c r="GA18" s="156"/>
      <c r="GB18" s="156"/>
      <c r="GC18" s="156"/>
      <c r="GD18" s="156"/>
      <c r="GE18" s="156"/>
      <c r="GF18" s="156"/>
      <c r="GG18" s="156"/>
      <c r="GH18" s="156"/>
      <c r="GI18" s="156"/>
      <c r="GJ18" s="156"/>
      <c r="GK18" s="156"/>
      <c r="GL18" s="156"/>
      <c r="GM18" s="156"/>
      <c r="GN18" s="156"/>
      <c r="GO18" s="156"/>
      <c r="GP18" s="156"/>
      <c r="GQ18" s="156"/>
      <c r="GR18" s="156"/>
      <c r="GS18" s="156"/>
      <c r="GT18" s="156"/>
      <c r="GU18" s="156"/>
      <c r="GV18" s="156"/>
      <c r="GW18" s="156"/>
      <c r="GX18" s="156"/>
      <c r="GY18" s="156"/>
      <c r="GZ18" s="156"/>
      <c r="HA18" s="156"/>
      <c r="HB18" s="156"/>
      <c r="HC18" s="156"/>
      <c r="HD18" s="156"/>
      <c r="HE18" s="156"/>
      <c r="HF18" s="156"/>
      <c r="HG18" s="156"/>
      <c r="HH18" s="156"/>
      <c r="HI18" s="156"/>
      <c r="HJ18" s="156"/>
      <c r="HK18" s="156"/>
      <c r="HL18" s="156"/>
      <c r="HM18" s="156"/>
      <c r="HN18" s="156"/>
      <c r="HO18" s="156"/>
      <c r="HP18" s="156"/>
      <c r="HQ18" s="156"/>
      <c r="HR18" s="156"/>
      <c r="HS18" s="156"/>
      <c r="HT18" s="156"/>
      <c r="HU18" s="156"/>
      <c r="HV18" s="156"/>
      <c r="HW18" s="156"/>
      <c r="HX18" s="156"/>
      <c r="HY18" s="156"/>
      <c r="HZ18" s="156"/>
      <c r="IA18" s="156"/>
      <c r="IB18" s="156"/>
      <c r="IC18" s="156"/>
      <c r="ID18" s="156"/>
      <c r="IE18" s="156"/>
      <c r="IF18" s="156"/>
      <c r="IG18" s="156"/>
      <c r="IH18" s="156"/>
      <c r="II18" s="156"/>
      <c r="IJ18" s="156"/>
      <c r="IK18" s="156"/>
      <c r="IL18" s="156"/>
      <c r="IM18" s="156"/>
      <c r="IN18" s="156"/>
      <c r="IO18" s="156"/>
      <c r="IP18" s="156"/>
      <c r="IQ18" s="156"/>
      <c r="IR18" s="156"/>
      <c r="IS18" s="156"/>
      <c r="IT18" s="156"/>
    </row>
    <row r="19" spans="1:254" s="21" customFormat="1" ht="15.75" thickBot="1">
      <c r="A19" s="111"/>
      <c r="B19" s="19"/>
      <c r="C19" s="20"/>
      <c r="D19" s="20"/>
      <c r="E19" s="72" t="s">
        <v>121</v>
      </c>
      <c r="F19" s="163">
        <v>0.0583</v>
      </c>
      <c r="G19" s="18" t="s">
        <v>119</v>
      </c>
      <c r="H19" s="66">
        <f>LOOKUP(($F$16+$F$17),$B31:$B204,$B31:$B192)</f>
        <v>2013</v>
      </c>
      <c r="I19" s="323" t="s">
        <v>124</v>
      </c>
      <c r="J19" s="348"/>
      <c r="K19" s="348"/>
      <c r="L19" s="348"/>
      <c r="M19" s="348"/>
      <c r="N19" s="323" t="s">
        <v>199</v>
      </c>
      <c r="O19" s="324"/>
      <c r="P19" s="324"/>
      <c r="Q19" s="324"/>
      <c r="R19" s="324"/>
      <c r="S19" s="324"/>
      <c r="T19" s="324"/>
      <c r="U19" s="325"/>
      <c r="V19" s="144">
        <f t="shared" si="0"/>
        <v>13</v>
      </c>
      <c r="W19" s="184">
        <f t="shared" si="1"/>
        <v>29788.190488096487</v>
      </c>
      <c r="X19" s="184">
        <f t="shared" si="2"/>
        <v>29788.190488096487</v>
      </c>
      <c r="Y19" s="184">
        <f t="shared" si="3"/>
        <v>14894.095244048243</v>
      </c>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156"/>
      <c r="EP19" s="156"/>
      <c r="EQ19" s="156"/>
      <c r="ER19" s="156"/>
      <c r="ES19" s="156"/>
      <c r="ET19" s="156"/>
      <c r="EU19" s="156"/>
      <c r="EV19" s="156"/>
      <c r="EW19" s="156"/>
      <c r="EX19" s="156"/>
      <c r="EY19" s="156"/>
      <c r="EZ19" s="156"/>
      <c r="FA19" s="156"/>
      <c r="FB19" s="156"/>
      <c r="FC19" s="156"/>
      <c r="FD19" s="156"/>
      <c r="FE19" s="156"/>
      <c r="FF19" s="156"/>
      <c r="FG19" s="156"/>
      <c r="FH19" s="156"/>
      <c r="FI19" s="156"/>
      <c r="FJ19" s="156"/>
      <c r="FK19" s="156"/>
      <c r="FL19" s="156"/>
      <c r="FM19" s="156"/>
      <c r="FN19" s="156"/>
      <c r="FO19" s="156"/>
      <c r="FP19" s="156"/>
      <c r="FQ19" s="156"/>
      <c r="FR19" s="156"/>
      <c r="FS19" s="156"/>
      <c r="FT19" s="156"/>
      <c r="FU19" s="156"/>
      <c r="FV19" s="156"/>
      <c r="FW19" s="156"/>
      <c r="FX19" s="156"/>
      <c r="FY19" s="156"/>
      <c r="FZ19" s="156"/>
      <c r="GA19" s="156"/>
      <c r="GB19" s="156"/>
      <c r="GC19" s="156"/>
      <c r="GD19" s="156"/>
      <c r="GE19" s="156"/>
      <c r="GF19" s="156"/>
      <c r="GG19" s="156"/>
      <c r="GH19" s="156"/>
      <c r="GI19" s="156"/>
      <c r="GJ19" s="156"/>
      <c r="GK19" s="156"/>
      <c r="GL19" s="156"/>
      <c r="GM19" s="156"/>
      <c r="GN19" s="156"/>
      <c r="GO19" s="156"/>
      <c r="GP19" s="156"/>
      <c r="GQ19" s="156"/>
      <c r="GR19" s="156"/>
      <c r="GS19" s="156"/>
      <c r="GT19" s="156"/>
      <c r="GU19" s="156"/>
      <c r="GV19" s="156"/>
      <c r="GW19" s="156"/>
      <c r="GX19" s="156"/>
      <c r="GY19" s="156"/>
      <c r="GZ19" s="156"/>
      <c r="HA19" s="156"/>
      <c r="HB19" s="156"/>
      <c r="HC19" s="156"/>
      <c r="HD19" s="156"/>
      <c r="HE19" s="156"/>
      <c r="HF19" s="156"/>
      <c r="HG19" s="156"/>
      <c r="HH19" s="156"/>
      <c r="HI19" s="156"/>
      <c r="HJ19" s="156"/>
      <c r="HK19" s="156"/>
      <c r="HL19" s="156"/>
      <c r="HM19" s="156"/>
      <c r="HN19" s="156"/>
      <c r="HO19" s="156"/>
      <c r="HP19" s="156"/>
      <c r="HQ19" s="156"/>
      <c r="HR19" s="156"/>
      <c r="HS19" s="156"/>
      <c r="HT19" s="156"/>
      <c r="HU19" s="156"/>
      <c r="HV19" s="156"/>
      <c r="HW19" s="156"/>
      <c r="HX19" s="156"/>
      <c r="HY19" s="156"/>
      <c r="HZ19" s="156"/>
      <c r="IA19" s="156"/>
      <c r="IB19" s="156"/>
      <c r="IC19" s="156"/>
      <c r="ID19" s="156"/>
      <c r="IE19" s="156"/>
      <c r="IF19" s="156"/>
      <c r="IG19" s="156"/>
      <c r="IH19" s="156"/>
      <c r="II19" s="156"/>
      <c r="IJ19" s="156"/>
      <c r="IK19" s="156"/>
      <c r="IL19" s="156"/>
      <c r="IM19" s="156"/>
      <c r="IN19" s="156"/>
      <c r="IO19" s="156"/>
      <c r="IP19" s="156"/>
      <c r="IQ19" s="156"/>
      <c r="IR19" s="156"/>
      <c r="IS19" s="156"/>
      <c r="IT19" s="156"/>
    </row>
    <row r="20" spans="1:254" s="21" customFormat="1" ht="15.75" customHeight="1" thickBot="1">
      <c r="A20" s="111"/>
      <c r="B20" s="42"/>
      <c r="C20" s="43"/>
      <c r="D20" s="43"/>
      <c r="E20" s="74" t="s">
        <v>184</v>
      </c>
      <c r="F20" s="164">
        <v>0.05</v>
      </c>
      <c r="G20" s="59" t="s">
        <v>77</v>
      </c>
      <c r="H20" s="60">
        <f>LOOKUP(($F$16+$F$17),$B31:$B204,$C31:$C192)</f>
        <v>65</v>
      </c>
      <c r="I20" s="107"/>
      <c r="J20" s="61"/>
      <c r="K20" s="50"/>
      <c r="L20" s="49" t="s">
        <v>62</v>
      </c>
      <c r="M20" s="170">
        <f>MAX($E$29:$E$204)</f>
        <v>2392700</v>
      </c>
      <c r="N20" s="431" t="s">
        <v>211</v>
      </c>
      <c r="O20" s="432"/>
      <c r="P20" s="432"/>
      <c r="Q20" s="432"/>
      <c r="R20" s="432"/>
      <c r="S20" s="432"/>
      <c r="T20" s="432"/>
      <c r="U20" s="433"/>
      <c r="V20" s="144">
        <f>1+V19</f>
        <v>14</v>
      </c>
      <c r="W20" s="184">
        <f t="shared" si="1"/>
        <v>32013.58803793841</v>
      </c>
      <c r="X20" s="184">
        <f t="shared" si="2"/>
        <v>32013.58803793841</v>
      </c>
      <c r="Y20" s="184">
        <f t="shared" si="3"/>
        <v>16006.794018969205</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c r="EF20" s="156"/>
      <c r="EG20" s="156"/>
      <c r="EH20" s="156"/>
      <c r="EI20" s="156"/>
      <c r="EJ20" s="156"/>
      <c r="EK20" s="156"/>
      <c r="EL20" s="156"/>
      <c r="EM20" s="156"/>
      <c r="EN20" s="156"/>
      <c r="EO20" s="156"/>
      <c r="EP20" s="156"/>
      <c r="EQ20" s="156"/>
      <c r="ER20" s="156"/>
      <c r="ES20" s="156"/>
      <c r="ET20" s="156"/>
      <c r="EU20" s="156"/>
      <c r="EV20" s="156"/>
      <c r="EW20" s="156"/>
      <c r="EX20" s="156"/>
      <c r="EY20" s="156"/>
      <c r="EZ20" s="156"/>
      <c r="FA20" s="156"/>
      <c r="FB20" s="156"/>
      <c r="FC20" s="156"/>
      <c r="FD20" s="156"/>
      <c r="FE20" s="156"/>
      <c r="FF20" s="156"/>
      <c r="FG20" s="156"/>
      <c r="FH20" s="156"/>
      <c r="FI20" s="156"/>
      <c r="FJ20" s="156"/>
      <c r="FK20" s="156"/>
      <c r="FL20" s="156"/>
      <c r="FM20" s="156"/>
      <c r="FN20" s="156"/>
      <c r="FO20" s="156"/>
      <c r="FP20" s="156"/>
      <c r="FQ20" s="156"/>
      <c r="FR20" s="156"/>
      <c r="FS20" s="156"/>
      <c r="FT20" s="156"/>
      <c r="FU20" s="156"/>
      <c r="FV20" s="156"/>
      <c r="FW20" s="156"/>
      <c r="FX20" s="156"/>
      <c r="FY20" s="156"/>
      <c r="FZ20" s="156"/>
      <c r="GA20" s="156"/>
      <c r="GB20" s="156"/>
      <c r="GC20" s="156"/>
      <c r="GD20" s="156"/>
      <c r="GE20" s="156"/>
      <c r="GF20" s="156"/>
      <c r="GG20" s="156"/>
      <c r="GH20" s="156"/>
      <c r="GI20" s="156"/>
      <c r="GJ20" s="156"/>
      <c r="GK20" s="156"/>
      <c r="GL20" s="156"/>
      <c r="GM20" s="156"/>
      <c r="GN20" s="156"/>
      <c r="GO20" s="156"/>
      <c r="GP20" s="156"/>
      <c r="GQ20" s="156"/>
      <c r="GR20" s="156"/>
      <c r="GS20" s="156"/>
      <c r="GT20" s="156"/>
      <c r="GU20" s="156"/>
      <c r="GV20" s="156"/>
      <c r="GW20" s="156"/>
      <c r="GX20" s="156"/>
      <c r="GY20" s="156"/>
      <c r="GZ20" s="156"/>
      <c r="HA20" s="156"/>
      <c r="HB20" s="156"/>
      <c r="HC20" s="156"/>
      <c r="HD20" s="156"/>
      <c r="HE20" s="156"/>
      <c r="HF20" s="156"/>
      <c r="HG20" s="156"/>
      <c r="HH20" s="156"/>
      <c r="HI20" s="156"/>
      <c r="HJ20" s="156"/>
      <c r="HK20" s="156"/>
      <c r="HL20" s="156"/>
      <c r="HM20" s="156"/>
      <c r="HN20" s="156"/>
      <c r="HO20" s="156"/>
      <c r="HP20" s="156"/>
      <c r="HQ20" s="156"/>
      <c r="HR20" s="156"/>
      <c r="HS20" s="156"/>
      <c r="HT20" s="156"/>
      <c r="HU20" s="156"/>
      <c r="HV20" s="156"/>
      <c r="HW20" s="156"/>
      <c r="HX20" s="156"/>
      <c r="HY20" s="156"/>
      <c r="HZ20" s="156"/>
      <c r="IA20" s="156"/>
      <c r="IB20" s="156"/>
      <c r="IC20" s="156"/>
      <c r="ID20" s="156"/>
      <c r="IE20" s="156"/>
      <c r="IF20" s="156"/>
      <c r="IG20" s="156"/>
      <c r="IH20" s="156"/>
      <c r="II20" s="156"/>
      <c r="IJ20" s="156"/>
      <c r="IK20" s="156"/>
      <c r="IL20" s="156"/>
      <c r="IM20" s="156"/>
      <c r="IN20" s="156"/>
      <c r="IO20" s="156"/>
      <c r="IP20" s="156"/>
      <c r="IQ20" s="156"/>
      <c r="IR20" s="156"/>
      <c r="IS20" s="156"/>
      <c r="IT20" s="156"/>
    </row>
    <row r="21" spans="1:254" s="21" customFormat="1" ht="15">
      <c r="A21" s="111"/>
      <c r="B21" s="40" t="s">
        <v>85</v>
      </c>
      <c r="C21" s="63"/>
      <c r="D21" s="63"/>
      <c r="E21" s="63"/>
      <c r="F21" s="63"/>
      <c r="G21" s="63"/>
      <c r="H21" s="104"/>
      <c r="I21" s="62"/>
      <c r="J21" s="39"/>
      <c r="K21" s="39"/>
      <c r="L21" s="46" t="s">
        <v>63</v>
      </c>
      <c r="M21" s="171">
        <f>MAX($F$29:$F$204)+MAX($G$29:$G$204)+MAX($H$29:$H$204)</f>
        <v>353667.2799999999</v>
      </c>
      <c r="N21" s="434"/>
      <c r="O21" s="435"/>
      <c r="P21" s="435"/>
      <c r="Q21" s="435"/>
      <c r="R21" s="435"/>
      <c r="S21" s="435"/>
      <c r="T21" s="435"/>
      <c r="U21" s="436"/>
      <c r="V21" s="144">
        <f>1+V20</f>
        <v>15</v>
      </c>
      <c r="W21" s="184">
        <f t="shared" si="1"/>
        <v>34229.7515730507</v>
      </c>
      <c r="X21" s="184">
        <f t="shared" si="2"/>
        <v>34229.7515730507</v>
      </c>
      <c r="Y21" s="184">
        <f t="shared" si="3"/>
        <v>17114.87578652535</v>
      </c>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156"/>
      <c r="DJ21" s="156"/>
      <c r="DK21" s="156"/>
      <c r="DL21" s="156"/>
      <c r="DM21" s="156"/>
      <c r="DN21" s="156"/>
      <c r="DO21" s="156"/>
      <c r="DP21" s="156"/>
      <c r="DQ21" s="156"/>
      <c r="DR21" s="156"/>
      <c r="DS21" s="156"/>
      <c r="DT21" s="156"/>
      <c r="DU21" s="156"/>
      <c r="DV21" s="156"/>
      <c r="DW21" s="156"/>
      <c r="DX21" s="156"/>
      <c r="DY21" s="156"/>
      <c r="DZ21" s="156"/>
      <c r="EA21" s="156"/>
      <c r="EB21" s="156"/>
      <c r="EC21" s="156"/>
      <c r="ED21" s="156"/>
      <c r="EE21" s="156"/>
      <c r="EF21" s="156"/>
      <c r="EG21" s="156"/>
      <c r="EH21" s="156"/>
      <c r="EI21" s="156"/>
      <c r="EJ21" s="156"/>
      <c r="EK21" s="156"/>
      <c r="EL21" s="156"/>
      <c r="EM21" s="156"/>
      <c r="EN21" s="156"/>
      <c r="EO21" s="156"/>
      <c r="EP21" s="156"/>
      <c r="EQ21" s="156"/>
      <c r="ER21" s="156"/>
      <c r="ES21" s="156"/>
      <c r="ET21" s="156"/>
      <c r="EU21" s="156"/>
      <c r="EV21" s="156"/>
      <c r="EW21" s="156"/>
      <c r="EX21" s="156"/>
      <c r="EY21" s="156"/>
      <c r="EZ21" s="156"/>
      <c r="FA21" s="156"/>
      <c r="FB21" s="156"/>
      <c r="FC21" s="156"/>
      <c r="FD21" s="156"/>
      <c r="FE21" s="156"/>
      <c r="FF21" s="156"/>
      <c r="FG21" s="156"/>
      <c r="FH21" s="156"/>
      <c r="FI21" s="156"/>
      <c r="FJ21" s="156"/>
      <c r="FK21" s="156"/>
      <c r="FL21" s="156"/>
      <c r="FM21" s="156"/>
      <c r="FN21" s="156"/>
      <c r="FO21" s="156"/>
      <c r="FP21" s="156"/>
      <c r="FQ21" s="156"/>
      <c r="FR21" s="156"/>
      <c r="FS21" s="156"/>
      <c r="FT21" s="156"/>
      <c r="FU21" s="156"/>
      <c r="FV21" s="156"/>
      <c r="FW21" s="156"/>
      <c r="FX21" s="156"/>
      <c r="FY21" s="156"/>
      <c r="FZ21" s="156"/>
      <c r="GA21" s="156"/>
      <c r="GB21" s="156"/>
      <c r="GC21" s="156"/>
      <c r="GD21" s="156"/>
      <c r="GE21" s="156"/>
      <c r="GF21" s="156"/>
      <c r="GG21" s="156"/>
      <c r="GH21" s="156"/>
      <c r="GI21" s="156"/>
      <c r="GJ21" s="156"/>
      <c r="GK21" s="156"/>
      <c r="GL21" s="156"/>
      <c r="GM21" s="156"/>
      <c r="GN21" s="156"/>
      <c r="GO21" s="156"/>
      <c r="GP21" s="156"/>
      <c r="GQ21" s="156"/>
      <c r="GR21" s="156"/>
      <c r="GS21" s="156"/>
      <c r="GT21" s="156"/>
      <c r="GU21" s="156"/>
      <c r="GV21" s="156"/>
      <c r="GW21" s="156"/>
      <c r="GX21" s="156"/>
      <c r="GY21" s="156"/>
      <c r="GZ21" s="156"/>
      <c r="HA21" s="156"/>
      <c r="HB21" s="156"/>
      <c r="HC21" s="156"/>
      <c r="HD21" s="156"/>
      <c r="HE21" s="156"/>
      <c r="HF21" s="156"/>
      <c r="HG21" s="156"/>
      <c r="HH21" s="156"/>
      <c r="HI21" s="156"/>
      <c r="HJ21" s="156"/>
      <c r="HK21" s="156"/>
      <c r="HL21" s="156"/>
      <c r="HM21" s="156"/>
      <c r="HN21" s="156"/>
      <c r="HO21" s="156"/>
      <c r="HP21" s="156"/>
      <c r="HQ21" s="156"/>
      <c r="HR21" s="156"/>
      <c r="HS21" s="156"/>
      <c r="HT21" s="156"/>
      <c r="HU21" s="156"/>
      <c r="HV21" s="156"/>
      <c r="HW21" s="156"/>
      <c r="HX21" s="156"/>
      <c r="HY21" s="156"/>
      <c r="HZ21" s="156"/>
      <c r="IA21" s="156"/>
      <c r="IB21" s="156"/>
      <c r="IC21" s="156"/>
      <c r="ID21" s="156"/>
      <c r="IE21" s="156"/>
      <c r="IF21" s="156"/>
      <c r="IG21" s="156"/>
      <c r="IH21" s="156"/>
      <c r="II21" s="156"/>
      <c r="IJ21" s="156"/>
      <c r="IK21" s="156"/>
      <c r="IL21" s="156"/>
      <c r="IM21" s="156"/>
      <c r="IN21" s="156"/>
      <c r="IO21" s="156"/>
      <c r="IP21" s="156"/>
      <c r="IQ21" s="156"/>
      <c r="IR21" s="156"/>
      <c r="IS21" s="156"/>
      <c r="IT21" s="156"/>
    </row>
    <row r="22" spans="2:25" s="28" customFormat="1" ht="15">
      <c r="B22" s="41" t="s">
        <v>86</v>
      </c>
      <c r="C22" s="64"/>
      <c r="D22" s="64"/>
      <c r="E22" s="64"/>
      <c r="F22" s="64"/>
      <c r="G22" s="64"/>
      <c r="H22" s="105"/>
      <c r="I22" s="62"/>
      <c r="J22" s="47"/>
      <c r="K22" s="47"/>
      <c r="L22" s="46" t="s">
        <v>64</v>
      </c>
      <c r="M22" s="171">
        <f>M20/$F$17</f>
        <v>48830.61224489796</v>
      </c>
      <c r="N22" s="434"/>
      <c r="O22" s="435"/>
      <c r="P22" s="435"/>
      <c r="Q22" s="435"/>
      <c r="R22" s="435"/>
      <c r="S22" s="435"/>
      <c r="T22" s="435"/>
      <c r="U22" s="436"/>
      <c r="V22" s="144">
        <f t="shared" si="0"/>
        <v>16</v>
      </c>
      <c r="W22" s="184">
        <f t="shared" si="1"/>
        <v>36436.719408847166</v>
      </c>
      <c r="X22" s="184">
        <f t="shared" si="2"/>
        <v>36436.719408847166</v>
      </c>
      <c r="Y22" s="184">
        <f t="shared" si="3"/>
        <v>18218.359704423583</v>
      </c>
    </row>
    <row r="23" spans="2:25" s="26" customFormat="1" ht="18" thickBot="1">
      <c r="B23" s="45" t="s">
        <v>61</v>
      </c>
      <c r="C23" s="65"/>
      <c r="D23" s="65"/>
      <c r="E23" s="65"/>
      <c r="F23" s="65"/>
      <c r="G23" s="65"/>
      <c r="H23" s="106"/>
      <c r="I23" s="38"/>
      <c r="J23" s="37"/>
      <c r="K23" s="37"/>
      <c r="L23" s="48" t="s">
        <v>65</v>
      </c>
      <c r="M23" s="172">
        <f>LOOKUP(($F$16+$F$17-1),$B$29:$B$204,$D$29:$D$204)</f>
        <v>110100</v>
      </c>
      <c r="N23" s="437"/>
      <c r="O23" s="438"/>
      <c r="P23" s="438"/>
      <c r="Q23" s="438"/>
      <c r="R23" s="438"/>
      <c r="S23" s="438"/>
      <c r="T23" s="438"/>
      <c r="U23" s="439"/>
      <c r="V23" s="144">
        <f t="shared" si="0"/>
        <v>17</v>
      </c>
      <c r="W23" s="184">
        <f t="shared" si="1"/>
        <v>38634.52970175652</v>
      </c>
      <c r="X23" s="184">
        <f t="shared" si="2"/>
        <v>38634.52970175652</v>
      </c>
      <c r="Y23" s="184">
        <f t="shared" si="3"/>
        <v>19317.26485087826</v>
      </c>
    </row>
    <row r="24" spans="1:254" s="17" customFormat="1" ht="15.75" customHeight="1" thickBot="1">
      <c r="A24" s="111"/>
      <c r="B24" s="277" t="s">
        <v>200</v>
      </c>
      <c r="C24" s="278"/>
      <c r="D24" s="278"/>
      <c r="E24" s="278"/>
      <c r="F24" s="278"/>
      <c r="G24" s="278"/>
      <c r="H24" s="278"/>
      <c r="I24" s="278"/>
      <c r="J24" s="278"/>
      <c r="K24" s="278"/>
      <c r="L24" s="278"/>
      <c r="M24" s="278"/>
      <c r="N24" s="278"/>
      <c r="O24" s="278"/>
      <c r="P24" s="278"/>
      <c r="Q24" s="278"/>
      <c r="R24" s="278"/>
      <c r="S24" s="278"/>
      <c r="T24" s="278"/>
      <c r="U24" s="279"/>
      <c r="V24" s="144">
        <f t="shared" si="0"/>
        <v>18</v>
      </c>
      <c r="W24" s="184">
        <f t="shared" si="1"/>
        <v>40823.22044988201</v>
      </c>
      <c r="X24" s="184">
        <f t="shared" si="2"/>
        <v>40823.22044988201</v>
      </c>
      <c r="Y24" s="184">
        <f t="shared" si="3"/>
        <v>20411.610224941003</v>
      </c>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c r="CQ24" s="156"/>
      <c r="CR24" s="156"/>
      <c r="CS24" s="156"/>
      <c r="CT24" s="156"/>
      <c r="CU24" s="156"/>
      <c r="CV24" s="156"/>
      <c r="CW24" s="156"/>
      <c r="CX24" s="156"/>
      <c r="CY24" s="156"/>
      <c r="CZ24" s="156"/>
      <c r="DA24" s="156"/>
      <c r="DB24" s="156"/>
      <c r="DC24" s="156"/>
      <c r="DD24" s="156"/>
      <c r="DE24" s="156"/>
      <c r="DF24" s="156"/>
      <c r="DG24" s="156"/>
      <c r="DH24" s="156"/>
      <c r="DI24" s="156"/>
      <c r="DJ24" s="156"/>
      <c r="DK24" s="156"/>
      <c r="DL24" s="156"/>
      <c r="DM24" s="156"/>
      <c r="DN24" s="156"/>
      <c r="DO24" s="156"/>
      <c r="DP24" s="156"/>
      <c r="DQ24" s="156"/>
      <c r="DR24" s="156"/>
      <c r="DS24" s="156"/>
      <c r="DT24" s="156"/>
      <c r="DU24" s="156"/>
      <c r="DV24" s="156"/>
      <c r="DW24" s="156"/>
      <c r="DX24" s="156"/>
      <c r="DY24" s="156"/>
      <c r="DZ24" s="156"/>
      <c r="EA24" s="156"/>
      <c r="EB24" s="156"/>
      <c r="EC24" s="156"/>
      <c r="ED24" s="156"/>
      <c r="EE24" s="156"/>
      <c r="EF24" s="156"/>
      <c r="EG24" s="156"/>
      <c r="EH24" s="156"/>
      <c r="EI24" s="156"/>
      <c r="EJ24" s="156"/>
      <c r="EK24" s="156"/>
      <c r="EL24" s="156"/>
      <c r="EM24" s="156"/>
      <c r="EN24" s="156"/>
      <c r="EO24" s="156"/>
      <c r="EP24" s="156"/>
      <c r="EQ24" s="156"/>
      <c r="ER24" s="156"/>
      <c r="ES24" s="156"/>
      <c r="ET24" s="156"/>
      <c r="EU24" s="156"/>
      <c r="EV24" s="156"/>
      <c r="EW24" s="156"/>
      <c r="EX24" s="156"/>
      <c r="EY24" s="156"/>
      <c r="EZ24" s="156"/>
      <c r="FA24" s="156"/>
      <c r="FB24" s="156"/>
      <c r="FC24" s="156"/>
      <c r="FD24" s="156"/>
      <c r="FE24" s="156"/>
      <c r="FF24" s="156"/>
      <c r="FG24" s="156"/>
      <c r="FH24" s="156"/>
      <c r="FI24" s="156"/>
      <c r="FJ24" s="156"/>
      <c r="FK24" s="156"/>
      <c r="FL24" s="156"/>
      <c r="FM24" s="156"/>
      <c r="FN24" s="156"/>
      <c r="FO24" s="156"/>
      <c r="FP24" s="156"/>
      <c r="FQ24" s="156"/>
      <c r="FR24" s="156"/>
      <c r="FS24" s="156"/>
      <c r="FT24" s="156"/>
      <c r="FU24" s="156"/>
      <c r="FV24" s="156"/>
      <c r="FW24" s="156"/>
      <c r="FX24" s="156"/>
      <c r="FY24" s="156"/>
      <c r="FZ24" s="156"/>
      <c r="GA24" s="156"/>
      <c r="GB24" s="156"/>
      <c r="GC24" s="156"/>
      <c r="GD24" s="156"/>
      <c r="GE24" s="156"/>
      <c r="GF24" s="156"/>
      <c r="GG24" s="156"/>
      <c r="GH24" s="156"/>
      <c r="GI24" s="156"/>
      <c r="GJ24" s="156"/>
      <c r="GK24" s="156"/>
      <c r="GL24" s="156"/>
      <c r="GM24" s="156"/>
      <c r="GN24" s="156"/>
      <c r="GO24" s="156"/>
      <c r="GP24" s="156"/>
      <c r="GQ24" s="156"/>
      <c r="GR24" s="156"/>
      <c r="GS24" s="156"/>
      <c r="GT24" s="156"/>
      <c r="GU24" s="156"/>
      <c r="GV24" s="156"/>
      <c r="GW24" s="156"/>
      <c r="GX24" s="156"/>
      <c r="GY24" s="156"/>
      <c r="GZ24" s="156"/>
      <c r="HA24" s="156"/>
      <c r="HB24" s="156"/>
      <c r="HC24" s="156"/>
      <c r="HD24" s="156"/>
      <c r="HE24" s="156"/>
      <c r="HF24" s="156"/>
      <c r="HG24" s="156"/>
      <c r="HH24" s="156"/>
      <c r="HI24" s="156"/>
      <c r="HJ24" s="156"/>
      <c r="HK24" s="156"/>
      <c r="HL24" s="156"/>
      <c r="HM24" s="156"/>
      <c r="HN24" s="156"/>
      <c r="HO24" s="156"/>
      <c r="HP24" s="156"/>
      <c r="HQ24" s="156"/>
      <c r="HR24" s="156"/>
      <c r="HS24" s="156"/>
      <c r="HT24" s="156"/>
      <c r="HU24" s="156"/>
      <c r="HV24" s="156"/>
      <c r="HW24" s="156"/>
      <c r="HX24" s="156"/>
      <c r="HY24" s="156"/>
      <c r="HZ24" s="156"/>
      <c r="IA24" s="156"/>
      <c r="IB24" s="156"/>
      <c r="IC24" s="156"/>
      <c r="ID24" s="156"/>
      <c r="IE24" s="156"/>
      <c r="IF24" s="156"/>
      <c r="IG24" s="156"/>
      <c r="IH24" s="156"/>
      <c r="II24" s="156"/>
      <c r="IJ24" s="156"/>
      <c r="IK24" s="156"/>
      <c r="IL24" s="156"/>
      <c r="IM24" s="156"/>
      <c r="IN24" s="156"/>
      <c r="IO24" s="156"/>
      <c r="IP24" s="156"/>
      <c r="IQ24" s="156"/>
      <c r="IR24" s="156"/>
      <c r="IS24" s="156"/>
      <c r="IT24" s="156"/>
    </row>
    <row r="25" spans="2:25" s="24" customFormat="1" ht="18" customHeight="1">
      <c r="B25" s="349" t="s">
        <v>194</v>
      </c>
      <c r="C25" s="350"/>
      <c r="D25" s="350"/>
      <c r="E25" s="350"/>
      <c r="F25" s="350"/>
      <c r="G25" s="350"/>
      <c r="H25" s="350"/>
      <c r="I25" s="350"/>
      <c r="J25" s="350"/>
      <c r="K25" s="350"/>
      <c r="L25" s="350"/>
      <c r="M25" s="350"/>
      <c r="N25" s="298" t="s">
        <v>87</v>
      </c>
      <c r="O25" s="299"/>
      <c r="P25" s="299"/>
      <c r="Q25" s="299"/>
      <c r="R25" s="299"/>
      <c r="S25" s="299"/>
      <c r="T25" s="299"/>
      <c r="U25" s="300"/>
      <c r="V25" s="144">
        <f t="shared" si="0"/>
        <v>19</v>
      </c>
      <c r="W25" s="184">
        <f t="shared" si="1"/>
        <v>43002.82949365843</v>
      </c>
      <c r="X25" s="184">
        <f t="shared" si="2"/>
        <v>43002.82949365843</v>
      </c>
      <c r="Y25" s="184">
        <f t="shared" si="3"/>
        <v>21501.414746829214</v>
      </c>
    </row>
    <row r="26" spans="2:254" s="2" customFormat="1" ht="15.75" customHeight="1" thickBot="1">
      <c r="B26" s="339"/>
      <c r="C26" s="340"/>
      <c r="D26" s="340"/>
      <c r="E26" s="340"/>
      <c r="F26" s="340"/>
      <c r="G26" s="340"/>
      <c r="H26" s="340"/>
      <c r="I26" s="340"/>
      <c r="J26" s="340"/>
      <c r="K26" s="340"/>
      <c r="L26" s="340"/>
      <c r="M26" s="340"/>
      <c r="N26" s="301"/>
      <c r="O26" s="302"/>
      <c r="P26" s="302"/>
      <c r="Q26" s="302"/>
      <c r="R26" s="302"/>
      <c r="S26" s="302"/>
      <c r="T26" s="302"/>
      <c r="U26" s="303"/>
      <c r="V26" s="144">
        <f t="shared" si="0"/>
        <v>20</v>
      </c>
      <c r="W26" s="184">
        <f t="shared" si="1"/>
        <v>45173.39451650632</v>
      </c>
      <c r="X26" s="184">
        <f t="shared" si="2"/>
        <v>45173.39451650632</v>
      </c>
      <c r="Y26" s="184">
        <f t="shared" si="3"/>
        <v>22586.69725825316</v>
      </c>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c r="FA26" s="155"/>
      <c r="FB26" s="155"/>
      <c r="FC26" s="155"/>
      <c r="FD26" s="155"/>
      <c r="FE26" s="155"/>
      <c r="FF26" s="155"/>
      <c r="FG26" s="155"/>
      <c r="FH26" s="155"/>
      <c r="FI26" s="155"/>
      <c r="FJ26" s="155"/>
      <c r="FK26" s="155"/>
      <c r="FL26" s="155"/>
      <c r="FM26" s="155"/>
      <c r="FN26" s="155"/>
      <c r="FO26" s="155"/>
      <c r="FP26" s="155"/>
      <c r="FQ26" s="155"/>
      <c r="FR26" s="155"/>
      <c r="FS26" s="155"/>
      <c r="FT26" s="155"/>
      <c r="FU26" s="155"/>
      <c r="FV26" s="155"/>
      <c r="FW26" s="155"/>
      <c r="FX26" s="155"/>
      <c r="FY26" s="155"/>
      <c r="FZ26" s="155"/>
      <c r="GA26" s="155"/>
      <c r="GB26" s="155"/>
      <c r="GC26" s="155"/>
      <c r="GD26" s="155"/>
      <c r="GE26" s="155"/>
      <c r="GF26" s="155"/>
      <c r="GG26" s="155"/>
      <c r="GH26" s="155"/>
      <c r="GI26" s="155"/>
      <c r="GJ26" s="155"/>
      <c r="GK26" s="155"/>
      <c r="GL26" s="155"/>
      <c r="GM26" s="155"/>
      <c r="GN26" s="155"/>
      <c r="GO26" s="155"/>
      <c r="GP26" s="155"/>
      <c r="GQ26" s="155"/>
      <c r="GR26" s="155"/>
      <c r="GS26" s="155"/>
      <c r="GT26" s="155"/>
      <c r="GU26" s="155"/>
      <c r="GV26" s="155"/>
      <c r="GW26" s="155"/>
      <c r="GX26" s="155"/>
      <c r="GY26" s="155"/>
      <c r="GZ26" s="155"/>
      <c r="HA26" s="155"/>
      <c r="HB26" s="155"/>
      <c r="HC26" s="155"/>
      <c r="HD26" s="155"/>
      <c r="HE26" s="155"/>
      <c r="HF26" s="155"/>
      <c r="HG26" s="155"/>
      <c r="HH26" s="155"/>
      <c r="HI26" s="155"/>
      <c r="HJ26" s="155"/>
      <c r="HK26" s="155"/>
      <c r="HL26" s="155"/>
      <c r="HM26" s="155"/>
      <c r="HN26" s="155"/>
      <c r="HO26" s="155"/>
      <c r="HP26" s="155"/>
      <c r="HQ26" s="155"/>
      <c r="HR26" s="155"/>
      <c r="HS26" s="155"/>
      <c r="HT26" s="155"/>
      <c r="HU26" s="155"/>
      <c r="HV26" s="155"/>
      <c r="HW26" s="155"/>
      <c r="HX26" s="155"/>
      <c r="HY26" s="155"/>
      <c r="HZ26" s="155"/>
      <c r="IA26" s="155"/>
      <c r="IB26" s="155"/>
      <c r="IC26" s="155"/>
      <c r="ID26" s="155"/>
      <c r="IE26" s="155"/>
      <c r="IF26" s="155"/>
      <c r="IG26" s="155"/>
      <c r="IH26" s="155"/>
      <c r="II26" s="155"/>
      <c r="IJ26" s="155"/>
      <c r="IK26" s="155"/>
      <c r="IL26" s="155"/>
      <c r="IM26" s="155"/>
      <c r="IN26" s="155"/>
      <c r="IO26" s="155"/>
      <c r="IP26" s="155"/>
      <c r="IQ26" s="155"/>
      <c r="IR26" s="155"/>
      <c r="IS26" s="155"/>
      <c r="IT26" s="155"/>
    </row>
    <row r="27" spans="2:25" ht="15.75" thickBot="1">
      <c r="B27" s="344" t="s">
        <v>0</v>
      </c>
      <c r="C27" s="346" t="s">
        <v>1</v>
      </c>
      <c r="D27" s="306" t="s">
        <v>58</v>
      </c>
      <c r="E27" s="306" t="s">
        <v>91</v>
      </c>
      <c r="F27" s="306" t="s">
        <v>97</v>
      </c>
      <c r="G27" s="306" t="s">
        <v>96</v>
      </c>
      <c r="H27" s="306" t="s">
        <v>84</v>
      </c>
      <c r="I27" s="306" t="s">
        <v>95</v>
      </c>
      <c r="J27" s="306" t="s">
        <v>94</v>
      </c>
      <c r="K27" s="306" t="s">
        <v>92</v>
      </c>
      <c r="L27" s="306" t="s">
        <v>93</v>
      </c>
      <c r="M27" s="306" t="s">
        <v>68</v>
      </c>
      <c r="N27" s="306" t="s">
        <v>59</v>
      </c>
      <c r="O27" s="295" t="s">
        <v>126</v>
      </c>
      <c r="P27" s="296"/>
      <c r="Q27" s="296"/>
      <c r="R27" s="296"/>
      <c r="S27" s="297"/>
      <c r="T27" s="342" t="s">
        <v>115</v>
      </c>
      <c r="U27" s="304" t="s">
        <v>98</v>
      </c>
      <c r="V27" s="144">
        <f t="shared" si="0"/>
        <v>21</v>
      </c>
      <c r="W27" s="184">
        <f t="shared" si="1"/>
        <v>47334.953045483475</v>
      </c>
      <c r="X27" s="184">
        <f t="shared" si="2"/>
        <v>47334.953045483475</v>
      </c>
      <c r="Y27" s="184">
        <f t="shared" si="3"/>
        <v>23667.476522741737</v>
      </c>
    </row>
    <row r="28" spans="2:25" ht="15.75" thickBot="1">
      <c r="B28" s="345"/>
      <c r="C28" s="347"/>
      <c r="D28" s="307"/>
      <c r="E28" s="307"/>
      <c r="F28" s="307"/>
      <c r="G28" s="307"/>
      <c r="H28" s="307"/>
      <c r="I28" s="307"/>
      <c r="J28" s="307"/>
      <c r="K28" s="307"/>
      <c r="L28" s="307"/>
      <c r="M28" s="307"/>
      <c r="N28" s="307"/>
      <c r="O28" s="271" t="s">
        <v>2</v>
      </c>
      <c r="P28" s="271" t="s">
        <v>3</v>
      </c>
      <c r="Q28" s="271" t="s">
        <v>4</v>
      </c>
      <c r="R28" s="271" t="s">
        <v>209</v>
      </c>
      <c r="S28" s="271" t="s">
        <v>6</v>
      </c>
      <c r="T28" s="343"/>
      <c r="U28" s="305"/>
      <c r="V28" s="144">
        <f t="shared" si="0"/>
        <v>22</v>
      </c>
      <c r="W28" s="184">
        <f t="shared" si="1"/>
        <v>49487.542451933754</v>
      </c>
      <c r="X28" s="184">
        <f t="shared" si="2"/>
        <v>49487.542451933754</v>
      </c>
      <c r="Y28" s="184">
        <f t="shared" si="3"/>
        <v>24743.771225966877</v>
      </c>
    </row>
    <row r="29" spans="2:25" ht="15">
      <c r="B29" s="120">
        <v>1937</v>
      </c>
      <c r="C29" s="121">
        <f aca="true" t="shared" si="4" ref="C29:C60">IF(($B29-$F$15)&gt;0,($B29-$F$15),0)</f>
        <v>0</v>
      </c>
      <c r="D29" s="76">
        <f>$U29*IF(3=$H$18,$S29,$F$18)</f>
        <v>0</v>
      </c>
      <c r="E29" s="76">
        <f>$U29*IF(B29&gt;$F$16,E27+D29,D29)</f>
        <v>0</v>
      </c>
      <c r="F29" s="122">
        <f>$U29*IF($S29&gt;$D29,($O29*$D29),($O29*$S29))</f>
        <v>0</v>
      </c>
      <c r="G29" s="122">
        <v>0</v>
      </c>
      <c r="H29" s="122">
        <v>0</v>
      </c>
      <c r="I29" s="122">
        <f>$U29*(IF($S29&gt;$D29,($O29*$D29*$N29/2),($O29*$S29*$N29/2))+F29)</f>
        <v>0</v>
      </c>
      <c r="J29" s="123">
        <v>0</v>
      </c>
      <c r="K29" s="122">
        <v>0</v>
      </c>
      <c r="L29" s="122">
        <f>SUM($I29,$J29,$K29)</f>
        <v>0</v>
      </c>
      <c r="M29" s="122">
        <f>$L29-($F29+$G29+$H29)</f>
        <v>0</v>
      </c>
      <c r="N29" s="127">
        <f aca="true" t="shared" si="5" ref="N29:N60">$F$20</f>
        <v>0.05</v>
      </c>
      <c r="O29" s="128">
        <v>0.02</v>
      </c>
      <c r="P29" s="128">
        <v>0</v>
      </c>
      <c r="Q29" s="128">
        <v>0</v>
      </c>
      <c r="R29" s="129">
        <f>O29+P29+Q29</f>
        <v>0.02</v>
      </c>
      <c r="S29" s="130">
        <v>3000</v>
      </c>
      <c r="T29" s="131">
        <v>1060.5234623845752</v>
      </c>
      <c r="U29" s="188">
        <f aca="true" t="shared" si="6" ref="U29:U60">IF((B29&lt;($F$16+$F$17)),1,0)*IF((B29&gt;($F$16-1)),1,0)</f>
        <v>0</v>
      </c>
      <c r="V29" s="144">
        <f t="shared" si="0"/>
        <v>23</v>
      </c>
      <c r="W29" s="184">
        <f t="shared" si="1"/>
        <v>51631.199952133196</v>
      </c>
      <c r="X29" s="184">
        <f t="shared" si="2"/>
        <v>51631.199952133196</v>
      </c>
      <c r="Y29" s="184">
        <f t="shared" si="3"/>
        <v>25815.599976066598</v>
      </c>
    </row>
    <row r="30" spans="2:25" ht="15" customHeight="1">
      <c r="B30" s="115">
        <f>B29+1</f>
        <v>1938</v>
      </c>
      <c r="C30" s="116">
        <f t="shared" si="4"/>
        <v>0</v>
      </c>
      <c r="D30" s="51">
        <f aca="true" t="shared" si="7" ref="D30:D61">$U30*IF($B30&lt;$F$16+1,IF(3=$H$18,$S30,$F$18),IF(1=$H$18,$D29*(1+($T30-$T29)/$T29),IF(2=$H$18,$D29*(1+$F$19),$S30)))</f>
        <v>0</v>
      </c>
      <c r="E30" s="51">
        <f aca="true" t="shared" si="8" ref="E30:E61">$U30*IF(B30&gt;$F$16,E29+D30,D30)</f>
        <v>0</v>
      </c>
      <c r="F30" s="52">
        <f>$U30*IF($S30&gt;$D30,($O30*$D30),($O30*$S30))+F29</f>
        <v>0</v>
      </c>
      <c r="G30" s="52">
        <f aca="true" t="shared" si="9" ref="G30:G61">$U30*(IF($S30&gt;$D30,($P30*$D30),($P30*$S30))+G29)</f>
        <v>0</v>
      </c>
      <c r="H30" s="52">
        <f aca="true" t="shared" si="10" ref="H30:H61">$U30*(IF($S30&gt;$D30,$Q30*$D30,$Q30*$S30)+H29)</f>
        <v>0</v>
      </c>
      <c r="I30" s="117">
        <f aca="true" t="shared" si="11" ref="I30:I61">$U30*(IF($S30&gt;$D30,(($O30*$D30*$N30/2)+$O30*$D30)+I29*$N30,(($O30*$S30*$N30/2)+$O30*$S30)+I29*$N30)+I29)</f>
        <v>0</v>
      </c>
      <c r="J30" s="117">
        <f aca="true" t="shared" si="12" ref="J30:J61">$U30*(IF($S30&gt;$D30,(($P30*$D30*$F$20/2)+((J29)*$F$20)+$P30*$D30),(($P30*$S30*$F$20/2)+$P30*$S30)+((+J29)*$F$20))+J29)</f>
        <v>0</v>
      </c>
      <c r="K30" s="117">
        <f aca="true" t="shared" si="13" ref="K30:K61">$U30*(IF(OR($S30&gt;$D30,$B30&gt;1963),(($Q30*$D30*$F$20/2)+((K29)*$F$20)+$Q30*$D30),(($Q30*$S30*$F$20/2)+$Q30*$S30)+((+K29)*$F$20))+K29)</f>
        <v>0</v>
      </c>
      <c r="L30" s="52">
        <f aca="true" t="shared" si="14" ref="L30:L93">SUM($I30,$J30,$K30)</f>
        <v>0</v>
      </c>
      <c r="M30" s="52">
        <f aca="true" t="shared" si="15" ref="M30:M93">$L30-($F30+$G30+$H30)</f>
        <v>0</v>
      </c>
      <c r="N30" s="132">
        <f t="shared" si="5"/>
        <v>0.05</v>
      </c>
      <c r="O30" s="133">
        <v>0.02</v>
      </c>
      <c r="P30" s="133">
        <v>0</v>
      </c>
      <c r="Q30" s="133">
        <v>0</v>
      </c>
      <c r="R30" s="134">
        <f aca="true" t="shared" si="16" ref="R30:R93">O30+P30+Q30</f>
        <v>0.02</v>
      </c>
      <c r="S30" s="135">
        <v>3000</v>
      </c>
      <c r="T30" s="136">
        <v>956.9548806230778</v>
      </c>
      <c r="U30" s="189">
        <f t="shared" si="6"/>
        <v>0</v>
      </c>
      <c r="V30" s="144">
        <f t="shared" si="0"/>
        <v>24</v>
      </c>
      <c r="W30" s="184">
        <f t="shared" si="1"/>
        <v>53765.96260793347</v>
      </c>
      <c r="X30" s="184">
        <f t="shared" si="2"/>
        <v>53765.96260793347</v>
      </c>
      <c r="Y30" s="184">
        <f t="shared" si="3"/>
        <v>26882.981303966735</v>
      </c>
    </row>
    <row r="31" spans="2:25" ht="15" customHeight="1">
      <c r="B31" s="115">
        <f aca="true" t="shared" si="17" ref="B31:B94">B30+1</f>
        <v>1939</v>
      </c>
      <c r="C31" s="116">
        <f t="shared" si="4"/>
        <v>0</v>
      </c>
      <c r="D31" s="51">
        <f t="shared" si="7"/>
        <v>0</v>
      </c>
      <c r="E31" s="51">
        <f t="shared" si="8"/>
        <v>0</v>
      </c>
      <c r="F31" s="52">
        <f aca="true" t="shared" si="18" ref="F31:F62">$U31*(IF($S31&gt;$D31,($O31*$D31),($O31*$S31))+F30)</f>
        <v>0</v>
      </c>
      <c r="G31" s="52">
        <f t="shared" si="9"/>
        <v>0</v>
      </c>
      <c r="H31" s="52">
        <f t="shared" si="10"/>
        <v>0</v>
      </c>
      <c r="I31" s="117">
        <f t="shared" si="11"/>
        <v>0</v>
      </c>
      <c r="J31" s="117">
        <f t="shared" si="12"/>
        <v>0</v>
      </c>
      <c r="K31" s="117">
        <f t="shared" si="13"/>
        <v>0</v>
      </c>
      <c r="L31" s="52">
        <f t="shared" si="14"/>
        <v>0</v>
      </c>
      <c r="M31" s="52">
        <f t="shared" si="15"/>
        <v>0</v>
      </c>
      <c r="N31" s="132">
        <f t="shared" si="5"/>
        <v>0.05</v>
      </c>
      <c r="O31" s="133">
        <v>0.02</v>
      </c>
      <c r="P31" s="133">
        <v>0</v>
      </c>
      <c r="Q31" s="133">
        <v>0</v>
      </c>
      <c r="R31" s="134">
        <f t="shared" si="16"/>
        <v>0.02</v>
      </c>
      <c r="S31" s="135">
        <v>3000</v>
      </c>
      <c r="T31" s="136">
        <v>1005.3156109169205</v>
      </c>
      <c r="U31" s="189">
        <f t="shared" si="6"/>
        <v>0</v>
      </c>
      <c r="V31" s="144">
        <f t="shared" si="0"/>
        <v>25</v>
      </c>
      <c r="W31" s="184">
        <f t="shared" si="1"/>
        <v>55891.86732740262</v>
      </c>
      <c r="X31" s="184">
        <f t="shared" si="2"/>
        <v>55891.86732740262</v>
      </c>
      <c r="Y31" s="184">
        <f t="shared" si="3"/>
        <v>27945.93366370131</v>
      </c>
    </row>
    <row r="32" spans="2:25" ht="15" customHeight="1">
      <c r="B32" s="115">
        <f t="shared" si="17"/>
        <v>1940</v>
      </c>
      <c r="C32" s="116">
        <f t="shared" si="4"/>
        <v>0</v>
      </c>
      <c r="D32" s="51">
        <f t="shared" si="7"/>
        <v>0</v>
      </c>
      <c r="E32" s="51">
        <f t="shared" si="8"/>
        <v>0</v>
      </c>
      <c r="F32" s="52">
        <f t="shared" si="18"/>
        <v>0</v>
      </c>
      <c r="G32" s="52">
        <f t="shared" si="9"/>
        <v>0</v>
      </c>
      <c r="H32" s="52">
        <f t="shared" si="10"/>
        <v>0</v>
      </c>
      <c r="I32" s="117">
        <f t="shared" si="11"/>
        <v>0</v>
      </c>
      <c r="J32" s="117">
        <f t="shared" si="12"/>
        <v>0</v>
      </c>
      <c r="K32" s="117">
        <f t="shared" si="13"/>
        <v>0</v>
      </c>
      <c r="L32" s="52">
        <f t="shared" si="14"/>
        <v>0</v>
      </c>
      <c r="M32" s="52">
        <f t="shared" si="15"/>
        <v>0</v>
      </c>
      <c r="N32" s="132">
        <f t="shared" si="5"/>
        <v>0.05</v>
      </c>
      <c r="O32" s="133">
        <v>0.02</v>
      </c>
      <c r="P32" s="133">
        <v>0</v>
      </c>
      <c r="Q32" s="133">
        <v>0</v>
      </c>
      <c r="R32" s="134">
        <f t="shared" si="16"/>
        <v>0.02</v>
      </c>
      <c r="S32" s="135">
        <v>3000</v>
      </c>
      <c r="T32" s="136">
        <v>1063.1182701567013</v>
      </c>
      <c r="U32" s="189">
        <f t="shared" si="6"/>
        <v>0</v>
      </c>
      <c r="V32" s="144">
        <f t="shared" si="0"/>
        <v>26</v>
      </c>
      <c r="W32" s="184">
        <f t="shared" si="1"/>
        <v>58008.95086546319</v>
      </c>
      <c r="X32" s="184">
        <f t="shared" si="2"/>
        <v>58008.95086546319</v>
      </c>
      <c r="Y32" s="184">
        <f t="shared" si="3"/>
        <v>29004.475432731597</v>
      </c>
    </row>
    <row r="33" spans="2:25" ht="15" customHeight="1">
      <c r="B33" s="115">
        <f t="shared" si="17"/>
        <v>1941</v>
      </c>
      <c r="C33" s="116">
        <f t="shared" si="4"/>
        <v>0</v>
      </c>
      <c r="D33" s="51">
        <f t="shared" si="7"/>
        <v>0</v>
      </c>
      <c r="E33" s="51">
        <f t="shared" si="8"/>
        <v>0</v>
      </c>
      <c r="F33" s="52">
        <f t="shared" si="18"/>
        <v>0</v>
      </c>
      <c r="G33" s="52">
        <f t="shared" si="9"/>
        <v>0</v>
      </c>
      <c r="H33" s="52">
        <f t="shared" si="10"/>
        <v>0</v>
      </c>
      <c r="I33" s="117">
        <f t="shared" si="11"/>
        <v>0</v>
      </c>
      <c r="J33" s="117">
        <f t="shared" si="12"/>
        <v>0</v>
      </c>
      <c r="K33" s="117">
        <f t="shared" si="13"/>
        <v>0</v>
      </c>
      <c r="L33" s="52">
        <f t="shared" si="14"/>
        <v>0</v>
      </c>
      <c r="M33" s="52">
        <f t="shared" si="15"/>
        <v>0</v>
      </c>
      <c r="N33" s="132">
        <f t="shared" si="5"/>
        <v>0.05</v>
      </c>
      <c r="O33" s="133">
        <v>0.02</v>
      </c>
      <c r="P33" s="133">
        <v>0</v>
      </c>
      <c r="Q33" s="133">
        <v>0</v>
      </c>
      <c r="R33" s="134">
        <f t="shared" si="16"/>
        <v>0.02</v>
      </c>
      <c r="S33" s="135">
        <v>3000</v>
      </c>
      <c r="T33" s="136">
        <v>1304.7004459404802</v>
      </c>
      <c r="U33" s="189">
        <f t="shared" si="6"/>
        <v>0</v>
      </c>
      <c r="V33" s="144">
        <f t="shared" si="0"/>
        <v>27</v>
      </c>
      <c r="W33" s="184">
        <f t="shared" si="1"/>
        <v>60117.24982452766</v>
      </c>
      <c r="X33" s="184">
        <f t="shared" si="2"/>
        <v>60117.24982452766</v>
      </c>
      <c r="Y33" s="184">
        <f t="shared" si="3"/>
        <v>30058.62491226383</v>
      </c>
    </row>
    <row r="34" spans="2:25" ht="15" customHeight="1">
      <c r="B34" s="115">
        <f t="shared" si="17"/>
        <v>1942</v>
      </c>
      <c r="C34" s="116">
        <f t="shared" si="4"/>
        <v>0</v>
      </c>
      <c r="D34" s="51">
        <f t="shared" si="7"/>
        <v>0</v>
      </c>
      <c r="E34" s="51">
        <f t="shared" si="8"/>
        <v>0</v>
      </c>
      <c r="F34" s="52">
        <f t="shared" si="18"/>
        <v>0</v>
      </c>
      <c r="G34" s="52">
        <f t="shared" si="9"/>
        <v>0</v>
      </c>
      <c r="H34" s="52">
        <f t="shared" si="10"/>
        <v>0</v>
      </c>
      <c r="I34" s="117">
        <f t="shared" si="11"/>
        <v>0</v>
      </c>
      <c r="J34" s="117">
        <f t="shared" si="12"/>
        <v>0</v>
      </c>
      <c r="K34" s="117">
        <f t="shared" si="13"/>
        <v>0</v>
      </c>
      <c r="L34" s="52">
        <f t="shared" si="14"/>
        <v>0</v>
      </c>
      <c r="M34" s="52">
        <f t="shared" si="15"/>
        <v>0</v>
      </c>
      <c r="N34" s="132">
        <f t="shared" si="5"/>
        <v>0.05</v>
      </c>
      <c r="O34" s="133">
        <v>0.02</v>
      </c>
      <c r="P34" s="133">
        <v>0</v>
      </c>
      <c r="Q34" s="133">
        <v>0</v>
      </c>
      <c r="R34" s="134">
        <f t="shared" si="16"/>
        <v>0.02</v>
      </c>
      <c r="S34" s="135">
        <v>3000</v>
      </c>
      <c r="T34" s="136">
        <v>1677.976021871585</v>
      </c>
      <c r="U34" s="189">
        <f t="shared" si="6"/>
        <v>0</v>
      </c>
      <c r="V34" s="144">
        <f t="shared" si="0"/>
        <v>28</v>
      </c>
      <c r="W34" s="184">
        <f t="shared" si="1"/>
        <v>62216.80065513128</v>
      </c>
      <c r="X34" s="184">
        <f t="shared" si="2"/>
        <v>62216.80065513128</v>
      </c>
      <c r="Y34" s="184">
        <f t="shared" si="3"/>
        <v>31108.40032756564</v>
      </c>
    </row>
    <row r="35" spans="2:25" ht="15" customHeight="1">
      <c r="B35" s="115">
        <f t="shared" si="17"/>
        <v>1943</v>
      </c>
      <c r="C35" s="116">
        <f t="shared" si="4"/>
        <v>0</v>
      </c>
      <c r="D35" s="51">
        <f t="shared" si="7"/>
        <v>0</v>
      </c>
      <c r="E35" s="51">
        <f t="shared" si="8"/>
        <v>0</v>
      </c>
      <c r="F35" s="52">
        <f t="shared" si="18"/>
        <v>0</v>
      </c>
      <c r="G35" s="52">
        <f t="shared" si="9"/>
        <v>0</v>
      </c>
      <c r="H35" s="52">
        <f t="shared" si="10"/>
        <v>0</v>
      </c>
      <c r="I35" s="117">
        <f t="shared" si="11"/>
        <v>0</v>
      </c>
      <c r="J35" s="117">
        <f t="shared" si="12"/>
        <v>0</v>
      </c>
      <c r="K35" s="117">
        <f t="shared" si="13"/>
        <v>0</v>
      </c>
      <c r="L35" s="52">
        <f t="shared" si="14"/>
        <v>0</v>
      </c>
      <c r="M35" s="52">
        <f t="shared" si="15"/>
        <v>0</v>
      </c>
      <c r="N35" s="132">
        <f t="shared" si="5"/>
        <v>0.05</v>
      </c>
      <c r="O35" s="133">
        <v>0.02</v>
      </c>
      <c r="P35" s="133">
        <v>0</v>
      </c>
      <c r="Q35" s="133">
        <v>0</v>
      </c>
      <c r="R35" s="134">
        <f t="shared" si="16"/>
        <v>0.02</v>
      </c>
      <c r="S35" s="135">
        <v>3000</v>
      </c>
      <c r="T35" s="136">
        <v>2058.7295496588854</v>
      </c>
      <c r="U35" s="189">
        <f t="shared" si="6"/>
        <v>0</v>
      </c>
      <c r="V35" s="144">
        <f t="shared" si="0"/>
        <v>29</v>
      </c>
      <c r="W35" s="184">
        <f t="shared" si="1"/>
        <v>64307.63965656227</v>
      </c>
      <c r="X35" s="184">
        <f t="shared" si="2"/>
        <v>64307.63965656227</v>
      </c>
      <c r="Y35" s="184">
        <f t="shared" si="3"/>
        <v>32153.819828281135</v>
      </c>
    </row>
    <row r="36" spans="2:25" ht="15" customHeight="1">
      <c r="B36" s="115">
        <f t="shared" si="17"/>
        <v>1944</v>
      </c>
      <c r="C36" s="116">
        <f t="shared" si="4"/>
        <v>0</v>
      </c>
      <c r="D36" s="51">
        <f t="shared" si="7"/>
        <v>0</v>
      </c>
      <c r="E36" s="51">
        <f t="shared" si="8"/>
        <v>0</v>
      </c>
      <c r="F36" s="52">
        <f t="shared" si="18"/>
        <v>0</v>
      </c>
      <c r="G36" s="52">
        <f t="shared" si="9"/>
        <v>0</v>
      </c>
      <c r="H36" s="52">
        <f t="shared" si="10"/>
        <v>0</v>
      </c>
      <c r="I36" s="117">
        <f t="shared" si="11"/>
        <v>0</v>
      </c>
      <c r="J36" s="117">
        <f t="shared" si="12"/>
        <v>0</v>
      </c>
      <c r="K36" s="117">
        <f t="shared" si="13"/>
        <v>0</v>
      </c>
      <c r="L36" s="52">
        <f t="shared" si="14"/>
        <v>0</v>
      </c>
      <c r="M36" s="52">
        <f t="shared" si="15"/>
        <v>0</v>
      </c>
      <c r="N36" s="132">
        <f t="shared" si="5"/>
        <v>0.05</v>
      </c>
      <c r="O36" s="133">
        <v>0.02</v>
      </c>
      <c r="P36" s="133">
        <v>0</v>
      </c>
      <c r="Q36" s="133">
        <v>0</v>
      </c>
      <c r="R36" s="134">
        <f t="shared" si="16"/>
        <v>0.02</v>
      </c>
      <c r="S36" s="135">
        <v>3000</v>
      </c>
      <c r="T36" s="136">
        <v>2069.5774617690836</v>
      </c>
      <c r="U36" s="189">
        <f t="shared" si="6"/>
        <v>0</v>
      </c>
      <c r="V36" s="144">
        <f t="shared" si="0"/>
        <v>30</v>
      </c>
      <c r="W36" s="184">
        <f t="shared" si="1"/>
        <v>66389.8029774894</v>
      </c>
      <c r="X36" s="184">
        <f t="shared" si="2"/>
        <v>66389.8029774894</v>
      </c>
      <c r="Y36" s="184">
        <f t="shared" si="3"/>
        <v>33194.9014887447</v>
      </c>
    </row>
    <row r="37" spans="2:25" ht="15" customHeight="1">
      <c r="B37" s="115">
        <f t="shared" si="17"/>
        <v>1945</v>
      </c>
      <c r="C37" s="116">
        <f t="shared" si="4"/>
        <v>0</v>
      </c>
      <c r="D37" s="51">
        <f t="shared" si="7"/>
        <v>0</v>
      </c>
      <c r="E37" s="51">
        <f t="shared" si="8"/>
        <v>0</v>
      </c>
      <c r="F37" s="52">
        <f t="shared" si="18"/>
        <v>0</v>
      </c>
      <c r="G37" s="52">
        <f t="shared" si="9"/>
        <v>0</v>
      </c>
      <c r="H37" s="52">
        <f t="shared" si="10"/>
        <v>0</v>
      </c>
      <c r="I37" s="117">
        <f t="shared" si="11"/>
        <v>0</v>
      </c>
      <c r="J37" s="117">
        <f t="shared" si="12"/>
        <v>0</v>
      </c>
      <c r="K37" s="117">
        <f t="shared" si="13"/>
        <v>0</v>
      </c>
      <c r="L37" s="52">
        <f t="shared" si="14"/>
        <v>0</v>
      </c>
      <c r="M37" s="52">
        <f t="shared" si="15"/>
        <v>0</v>
      </c>
      <c r="N37" s="132">
        <f t="shared" si="5"/>
        <v>0.05</v>
      </c>
      <c r="O37" s="133">
        <v>0.02</v>
      </c>
      <c r="P37" s="133">
        <v>0</v>
      </c>
      <c r="Q37" s="133">
        <v>0</v>
      </c>
      <c r="R37" s="134">
        <f t="shared" si="16"/>
        <v>0.02</v>
      </c>
      <c r="S37" s="135">
        <v>3000</v>
      </c>
      <c r="T37" s="136">
        <v>2071.897032539487</v>
      </c>
      <c r="U37" s="189">
        <f t="shared" si="6"/>
        <v>0</v>
      </c>
      <c r="V37" s="144">
        <f t="shared" si="0"/>
        <v>31</v>
      </c>
      <c r="W37" s="184">
        <f t="shared" si="1"/>
        <v>68463.32661658694</v>
      </c>
      <c r="X37" s="184">
        <f t="shared" si="2"/>
        <v>68463.32661658694</v>
      </c>
      <c r="Y37" s="184">
        <f t="shared" si="3"/>
        <v>34231.66330829347</v>
      </c>
    </row>
    <row r="38" spans="2:25" ht="15" customHeight="1">
      <c r="B38" s="115">
        <f t="shared" si="17"/>
        <v>1946</v>
      </c>
      <c r="C38" s="116">
        <f t="shared" si="4"/>
        <v>0</v>
      </c>
      <c r="D38" s="51">
        <f t="shared" si="7"/>
        <v>0</v>
      </c>
      <c r="E38" s="51">
        <f t="shared" si="8"/>
        <v>0</v>
      </c>
      <c r="F38" s="52">
        <f t="shared" si="18"/>
        <v>0</v>
      </c>
      <c r="G38" s="52">
        <f t="shared" si="9"/>
        <v>0</v>
      </c>
      <c r="H38" s="52">
        <f t="shared" si="10"/>
        <v>0</v>
      </c>
      <c r="I38" s="117">
        <f t="shared" si="11"/>
        <v>0</v>
      </c>
      <c r="J38" s="117">
        <f t="shared" si="12"/>
        <v>0</v>
      </c>
      <c r="K38" s="117">
        <f t="shared" si="13"/>
        <v>0</v>
      </c>
      <c r="L38" s="52">
        <f t="shared" si="14"/>
        <v>0</v>
      </c>
      <c r="M38" s="52">
        <f t="shared" si="15"/>
        <v>0</v>
      </c>
      <c r="N38" s="132">
        <f t="shared" si="5"/>
        <v>0.05</v>
      </c>
      <c r="O38" s="133">
        <v>0.02</v>
      </c>
      <c r="P38" s="133">
        <v>0</v>
      </c>
      <c r="Q38" s="133">
        <v>0</v>
      </c>
      <c r="R38" s="134">
        <f t="shared" si="16"/>
        <v>0.02</v>
      </c>
      <c r="S38" s="135">
        <v>3000</v>
      </c>
      <c r="T38" s="136">
        <v>2263.157358481552</v>
      </c>
      <c r="U38" s="189">
        <f t="shared" si="6"/>
        <v>0</v>
      </c>
      <c r="V38" s="144">
        <f t="shared" si="0"/>
        <v>32</v>
      </c>
      <c r="W38" s="184">
        <f t="shared" si="1"/>
        <v>70528.24642315712</v>
      </c>
      <c r="X38" s="184">
        <f t="shared" si="2"/>
        <v>70528.24642315712</v>
      </c>
      <c r="Y38" s="184">
        <f t="shared" si="3"/>
        <v>35264.12321157856</v>
      </c>
    </row>
    <row r="39" spans="2:25" ht="15" customHeight="1">
      <c r="B39" s="115">
        <f t="shared" si="17"/>
        <v>1947</v>
      </c>
      <c r="C39" s="116">
        <f t="shared" si="4"/>
        <v>0</v>
      </c>
      <c r="D39" s="51">
        <f t="shared" si="7"/>
        <v>0</v>
      </c>
      <c r="E39" s="51">
        <f t="shared" si="8"/>
        <v>0</v>
      </c>
      <c r="F39" s="52">
        <f t="shared" si="18"/>
        <v>0</v>
      </c>
      <c r="G39" s="52">
        <f t="shared" si="9"/>
        <v>0</v>
      </c>
      <c r="H39" s="52">
        <f t="shared" si="10"/>
        <v>0</v>
      </c>
      <c r="I39" s="117">
        <f t="shared" si="11"/>
        <v>0</v>
      </c>
      <c r="J39" s="117">
        <f t="shared" si="12"/>
        <v>0</v>
      </c>
      <c r="K39" s="117">
        <f t="shared" si="13"/>
        <v>0</v>
      </c>
      <c r="L39" s="52">
        <f t="shared" si="14"/>
        <v>0</v>
      </c>
      <c r="M39" s="52">
        <f t="shared" si="15"/>
        <v>0</v>
      </c>
      <c r="N39" s="132">
        <f t="shared" si="5"/>
        <v>0.05</v>
      </c>
      <c r="O39" s="133">
        <v>0.02</v>
      </c>
      <c r="P39" s="133">
        <v>0</v>
      </c>
      <c r="Q39" s="133">
        <v>0</v>
      </c>
      <c r="R39" s="134">
        <f t="shared" si="16"/>
        <v>0.02</v>
      </c>
      <c r="S39" s="135">
        <v>3000</v>
      </c>
      <c r="T39" s="136">
        <v>2499.427849963253</v>
      </c>
      <c r="U39" s="189">
        <f t="shared" si="6"/>
        <v>0</v>
      </c>
      <c r="V39" s="144">
        <f t="shared" si="0"/>
        <v>33</v>
      </c>
      <c r="W39" s="184">
        <f t="shared" si="1"/>
        <v>72584.59809774983</v>
      </c>
      <c r="X39" s="184">
        <f t="shared" si="2"/>
        <v>72584.59809774983</v>
      </c>
      <c r="Y39" s="184">
        <f t="shared" si="3"/>
        <v>36292.29904887491</v>
      </c>
    </row>
    <row r="40" spans="2:25" ht="15" customHeight="1">
      <c r="B40" s="115">
        <f t="shared" si="17"/>
        <v>1948</v>
      </c>
      <c r="C40" s="116">
        <f t="shared" si="4"/>
        <v>0</v>
      </c>
      <c r="D40" s="51">
        <f t="shared" si="7"/>
        <v>0</v>
      </c>
      <c r="E40" s="51">
        <f t="shared" si="8"/>
        <v>0</v>
      </c>
      <c r="F40" s="52">
        <f t="shared" si="18"/>
        <v>0</v>
      </c>
      <c r="G40" s="52">
        <f t="shared" si="9"/>
        <v>0</v>
      </c>
      <c r="H40" s="52">
        <f t="shared" si="10"/>
        <v>0</v>
      </c>
      <c r="I40" s="117">
        <f t="shared" si="11"/>
        <v>0</v>
      </c>
      <c r="J40" s="117">
        <f t="shared" si="12"/>
        <v>0</v>
      </c>
      <c r="K40" s="117">
        <f t="shared" si="13"/>
        <v>0</v>
      </c>
      <c r="L40" s="52">
        <f t="shared" si="14"/>
        <v>0</v>
      </c>
      <c r="M40" s="52">
        <f t="shared" si="15"/>
        <v>0</v>
      </c>
      <c r="N40" s="132">
        <f t="shared" si="5"/>
        <v>0.05</v>
      </c>
      <c r="O40" s="133">
        <v>0.02</v>
      </c>
      <c r="P40" s="133">
        <v>0</v>
      </c>
      <c r="Q40" s="133">
        <v>0</v>
      </c>
      <c r="R40" s="134">
        <f t="shared" si="16"/>
        <v>0.02</v>
      </c>
      <c r="S40" s="135">
        <v>3000</v>
      </c>
      <c r="T40" s="136">
        <v>2741.92429827737</v>
      </c>
      <c r="U40" s="189">
        <f t="shared" si="6"/>
        <v>0</v>
      </c>
      <c r="V40" s="144">
        <f t="shared" si="0"/>
        <v>34</v>
      </c>
      <c r="W40" s="184">
        <f t="shared" si="1"/>
        <v>74632.4171927799</v>
      </c>
      <c r="X40" s="184">
        <f t="shared" si="2"/>
        <v>74632.4171927799</v>
      </c>
      <c r="Y40" s="184">
        <f t="shared" si="3"/>
        <v>37316.20859638995</v>
      </c>
    </row>
    <row r="41" spans="2:25" ht="15" customHeight="1">
      <c r="B41" s="115">
        <f t="shared" si="17"/>
        <v>1949</v>
      </c>
      <c r="C41" s="116">
        <f t="shared" si="4"/>
        <v>1</v>
      </c>
      <c r="D41" s="51">
        <f t="shared" si="7"/>
        <v>0</v>
      </c>
      <c r="E41" s="51">
        <f t="shared" si="8"/>
        <v>0</v>
      </c>
      <c r="F41" s="52">
        <f t="shared" si="18"/>
        <v>0</v>
      </c>
      <c r="G41" s="52">
        <f t="shared" si="9"/>
        <v>0</v>
      </c>
      <c r="H41" s="52">
        <f t="shared" si="10"/>
        <v>0</v>
      </c>
      <c r="I41" s="117">
        <f t="shared" si="11"/>
        <v>0</v>
      </c>
      <c r="J41" s="117">
        <f t="shared" si="12"/>
        <v>0</v>
      </c>
      <c r="K41" s="117">
        <f t="shared" si="13"/>
        <v>0</v>
      </c>
      <c r="L41" s="52">
        <f t="shared" si="14"/>
        <v>0</v>
      </c>
      <c r="M41" s="52">
        <f t="shared" si="15"/>
        <v>0</v>
      </c>
      <c r="N41" s="132">
        <f t="shared" si="5"/>
        <v>0.05</v>
      </c>
      <c r="O41" s="133">
        <v>0.02</v>
      </c>
      <c r="P41" s="133">
        <v>0</v>
      </c>
      <c r="Q41" s="133">
        <v>0</v>
      </c>
      <c r="R41" s="134">
        <f t="shared" si="16"/>
        <v>0.02</v>
      </c>
      <c r="S41" s="135">
        <v>3000</v>
      </c>
      <c r="T41" s="136">
        <v>2681.4180254657085</v>
      </c>
      <c r="U41" s="189">
        <f t="shared" si="6"/>
        <v>0</v>
      </c>
      <c r="V41" s="144">
        <f t="shared" si="0"/>
        <v>35</v>
      </c>
      <c r="W41" s="184">
        <f t="shared" si="1"/>
        <v>76671.73911314181</v>
      </c>
      <c r="X41" s="184">
        <f t="shared" si="2"/>
        <v>76671.73911314181</v>
      </c>
      <c r="Y41" s="184">
        <f t="shared" si="3"/>
        <v>38335.869556570906</v>
      </c>
    </row>
    <row r="42" spans="2:25" ht="15" customHeight="1">
      <c r="B42" s="115">
        <f t="shared" si="17"/>
        <v>1950</v>
      </c>
      <c r="C42" s="116">
        <f t="shared" si="4"/>
        <v>2</v>
      </c>
      <c r="D42" s="51">
        <f t="shared" si="7"/>
        <v>0</v>
      </c>
      <c r="E42" s="51">
        <f t="shared" si="8"/>
        <v>0</v>
      </c>
      <c r="F42" s="52">
        <f t="shared" si="18"/>
        <v>0</v>
      </c>
      <c r="G42" s="52">
        <f t="shared" si="9"/>
        <v>0</v>
      </c>
      <c r="H42" s="52">
        <f t="shared" si="10"/>
        <v>0</v>
      </c>
      <c r="I42" s="117">
        <f t="shared" si="11"/>
        <v>0</v>
      </c>
      <c r="J42" s="117">
        <f t="shared" si="12"/>
        <v>0</v>
      </c>
      <c r="K42" s="117">
        <f t="shared" si="13"/>
        <v>0</v>
      </c>
      <c r="L42" s="52">
        <f t="shared" si="14"/>
        <v>0</v>
      </c>
      <c r="M42" s="52">
        <f t="shared" si="15"/>
        <v>0</v>
      </c>
      <c r="N42" s="132">
        <f t="shared" si="5"/>
        <v>0.05</v>
      </c>
      <c r="O42" s="133">
        <v>0.03</v>
      </c>
      <c r="P42" s="133">
        <v>0</v>
      </c>
      <c r="Q42" s="133">
        <v>0</v>
      </c>
      <c r="R42" s="134">
        <f t="shared" si="16"/>
        <v>0.03</v>
      </c>
      <c r="S42" s="135">
        <v>3000</v>
      </c>
      <c r="T42" s="136">
        <v>2923.155303702188</v>
      </c>
      <c r="U42" s="189">
        <f t="shared" si="6"/>
        <v>0</v>
      </c>
      <c r="V42" s="144">
        <f t="shared" si="0"/>
        <v>36</v>
      </c>
      <c r="W42" s="184">
        <f t="shared" si="1"/>
        <v>78702.59911682172</v>
      </c>
      <c r="X42" s="184">
        <f t="shared" si="2"/>
        <v>78702.59911682172</v>
      </c>
      <c r="Y42" s="184">
        <f t="shared" si="3"/>
        <v>39351.29955841086</v>
      </c>
    </row>
    <row r="43" spans="2:25" ht="15" customHeight="1">
      <c r="B43" s="115">
        <f t="shared" si="17"/>
        <v>1951</v>
      </c>
      <c r="C43" s="116">
        <f t="shared" si="4"/>
        <v>3</v>
      </c>
      <c r="D43" s="51">
        <f t="shared" si="7"/>
        <v>0</v>
      </c>
      <c r="E43" s="51">
        <f t="shared" si="8"/>
        <v>0</v>
      </c>
      <c r="F43" s="52">
        <f t="shared" si="18"/>
        <v>0</v>
      </c>
      <c r="G43" s="52">
        <f t="shared" si="9"/>
        <v>0</v>
      </c>
      <c r="H43" s="52">
        <f t="shared" si="10"/>
        <v>0</v>
      </c>
      <c r="I43" s="117">
        <f t="shared" si="11"/>
        <v>0</v>
      </c>
      <c r="J43" s="117">
        <f t="shared" si="12"/>
        <v>0</v>
      </c>
      <c r="K43" s="117">
        <f t="shared" si="13"/>
        <v>0</v>
      </c>
      <c r="L43" s="52">
        <f t="shared" si="14"/>
        <v>0</v>
      </c>
      <c r="M43" s="52">
        <f t="shared" si="15"/>
        <v>0</v>
      </c>
      <c r="N43" s="132">
        <f t="shared" si="5"/>
        <v>0.05</v>
      </c>
      <c r="O43" s="133">
        <v>0.03</v>
      </c>
      <c r="P43" s="133">
        <v>0</v>
      </c>
      <c r="Q43" s="133">
        <v>0</v>
      </c>
      <c r="R43" s="134">
        <f t="shared" si="16"/>
        <v>0.03</v>
      </c>
      <c r="S43" s="135">
        <v>3600</v>
      </c>
      <c r="T43" s="136">
        <v>3249.78395076419</v>
      </c>
      <c r="U43" s="189">
        <f t="shared" si="6"/>
        <v>0</v>
      </c>
      <c r="V43" s="144">
        <f t="shared" si="0"/>
        <v>37</v>
      </c>
      <c r="W43" s="184">
        <f t="shared" si="1"/>
        <v>80725.0323155071</v>
      </c>
      <c r="X43" s="184">
        <f t="shared" si="2"/>
        <v>80725.0323155071</v>
      </c>
      <c r="Y43" s="184">
        <f t="shared" si="3"/>
        <v>40362.51615775355</v>
      </c>
    </row>
    <row r="44" spans="2:25" ht="15" customHeight="1">
      <c r="B44" s="115">
        <f t="shared" si="17"/>
        <v>1952</v>
      </c>
      <c r="C44" s="116">
        <f t="shared" si="4"/>
        <v>4</v>
      </c>
      <c r="D44" s="51">
        <f t="shared" si="7"/>
        <v>0</v>
      </c>
      <c r="E44" s="51">
        <f t="shared" si="8"/>
        <v>0</v>
      </c>
      <c r="F44" s="52">
        <f t="shared" si="18"/>
        <v>0</v>
      </c>
      <c r="G44" s="52">
        <f t="shared" si="9"/>
        <v>0</v>
      </c>
      <c r="H44" s="52">
        <f t="shared" si="10"/>
        <v>0</v>
      </c>
      <c r="I44" s="117">
        <f t="shared" si="11"/>
        <v>0</v>
      </c>
      <c r="J44" s="117">
        <f t="shared" si="12"/>
        <v>0</v>
      </c>
      <c r="K44" s="117">
        <f t="shared" si="13"/>
        <v>0</v>
      </c>
      <c r="L44" s="52">
        <f t="shared" si="14"/>
        <v>0</v>
      </c>
      <c r="M44" s="52">
        <f t="shared" si="15"/>
        <v>0</v>
      </c>
      <c r="N44" s="132">
        <f t="shared" si="5"/>
        <v>0.05</v>
      </c>
      <c r="O44" s="133">
        <v>0.03</v>
      </c>
      <c r="P44" s="133">
        <v>0</v>
      </c>
      <c r="Q44" s="133">
        <v>0</v>
      </c>
      <c r="R44" s="134">
        <f t="shared" si="16"/>
        <v>0.03</v>
      </c>
      <c r="S44" s="135">
        <v>3600</v>
      </c>
      <c r="T44" s="136">
        <v>3426.7869762487494</v>
      </c>
      <c r="U44" s="189">
        <f t="shared" si="6"/>
        <v>0</v>
      </c>
      <c r="V44" s="144">
        <f t="shared" si="0"/>
        <v>38</v>
      </c>
      <c r="W44" s="184">
        <f t="shared" si="1"/>
        <v>82739.07367519378</v>
      </c>
      <c r="X44" s="184">
        <f t="shared" si="2"/>
        <v>82739.07367519378</v>
      </c>
      <c r="Y44" s="184">
        <f t="shared" si="3"/>
        <v>41369.53683759689</v>
      </c>
    </row>
    <row r="45" spans="2:25" ht="15" customHeight="1">
      <c r="B45" s="115">
        <f t="shared" si="17"/>
        <v>1953</v>
      </c>
      <c r="C45" s="116">
        <f t="shared" si="4"/>
        <v>5</v>
      </c>
      <c r="D45" s="51">
        <f t="shared" si="7"/>
        <v>0</v>
      </c>
      <c r="E45" s="51">
        <f t="shared" si="8"/>
        <v>0</v>
      </c>
      <c r="F45" s="52">
        <f t="shared" si="18"/>
        <v>0</v>
      </c>
      <c r="G45" s="52">
        <f t="shared" si="9"/>
        <v>0</v>
      </c>
      <c r="H45" s="52">
        <f t="shared" si="10"/>
        <v>0</v>
      </c>
      <c r="I45" s="117">
        <f t="shared" si="11"/>
        <v>0</v>
      </c>
      <c r="J45" s="117">
        <f t="shared" si="12"/>
        <v>0</v>
      </c>
      <c r="K45" s="117">
        <f t="shared" si="13"/>
        <v>0</v>
      </c>
      <c r="L45" s="52">
        <f t="shared" si="14"/>
        <v>0</v>
      </c>
      <c r="M45" s="52">
        <f t="shared" si="15"/>
        <v>0</v>
      </c>
      <c r="N45" s="132">
        <f t="shared" si="5"/>
        <v>0.05</v>
      </c>
      <c r="O45" s="133">
        <v>0.03</v>
      </c>
      <c r="P45" s="133">
        <v>0</v>
      </c>
      <c r="Q45" s="133">
        <v>0</v>
      </c>
      <c r="R45" s="134">
        <f t="shared" si="16"/>
        <v>0.03</v>
      </c>
      <c r="S45" s="135">
        <v>3600</v>
      </c>
      <c r="T45" s="136">
        <v>3606.4636572026698</v>
      </c>
      <c r="U45" s="189">
        <f t="shared" si="6"/>
        <v>0</v>
      </c>
      <c r="V45" s="144">
        <f t="shared" si="0"/>
        <v>39</v>
      </c>
      <c r="W45" s="184">
        <f t="shared" si="1"/>
        <v>84744.75801679048</v>
      </c>
      <c r="X45" s="184">
        <f t="shared" si="2"/>
        <v>84744.75801679048</v>
      </c>
      <c r="Y45" s="184">
        <f t="shared" si="3"/>
        <v>42372.37900839524</v>
      </c>
    </row>
    <row r="46" spans="2:25" ht="15" customHeight="1">
      <c r="B46" s="115">
        <f t="shared" si="17"/>
        <v>1954</v>
      </c>
      <c r="C46" s="116">
        <f t="shared" si="4"/>
        <v>6</v>
      </c>
      <c r="D46" s="51">
        <f t="shared" si="7"/>
        <v>0</v>
      </c>
      <c r="E46" s="51">
        <f t="shared" si="8"/>
        <v>0</v>
      </c>
      <c r="F46" s="52">
        <f t="shared" si="18"/>
        <v>0</v>
      </c>
      <c r="G46" s="52">
        <f t="shared" si="9"/>
        <v>0</v>
      </c>
      <c r="H46" s="52">
        <f t="shared" si="10"/>
        <v>0</v>
      </c>
      <c r="I46" s="117">
        <f t="shared" si="11"/>
        <v>0</v>
      </c>
      <c r="J46" s="117">
        <f t="shared" si="12"/>
        <v>0</v>
      </c>
      <c r="K46" s="117">
        <f t="shared" si="13"/>
        <v>0</v>
      </c>
      <c r="L46" s="52">
        <f t="shared" si="14"/>
        <v>0</v>
      </c>
      <c r="M46" s="52">
        <f t="shared" si="15"/>
        <v>0</v>
      </c>
      <c r="N46" s="132">
        <f t="shared" si="5"/>
        <v>0.05</v>
      </c>
      <c r="O46" s="133">
        <v>0.04</v>
      </c>
      <c r="P46" s="133">
        <v>0</v>
      </c>
      <c r="Q46" s="133">
        <v>0</v>
      </c>
      <c r="R46" s="134">
        <f t="shared" si="16"/>
        <v>0.04</v>
      </c>
      <c r="S46" s="135">
        <v>3600</v>
      </c>
      <c r="T46" s="136">
        <v>3580.497173040569</v>
      </c>
      <c r="U46" s="189">
        <f t="shared" si="6"/>
        <v>0</v>
      </c>
      <c r="V46" s="144">
        <f t="shared" si="0"/>
        <v>40</v>
      </c>
      <c r="W46" s="184">
        <f t="shared" si="1"/>
        <v>86742.12001672082</v>
      </c>
      <c r="X46" s="184">
        <f t="shared" si="2"/>
        <v>86742.12001672082</v>
      </c>
      <c r="Y46" s="184">
        <f t="shared" si="3"/>
        <v>43371.06000836041</v>
      </c>
    </row>
    <row r="47" spans="2:25" ht="15" customHeight="1">
      <c r="B47" s="115">
        <f t="shared" si="17"/>
        <v>1955</v>
      </c>
      <c r="C47" s="116">
        <f t="shared" si="4"/>
        <v>7</v>
      </c>
      <c r="D47" s="51">
        <f t="shared" si="7"/>
        <v>0</v>
      </c>
      <c r="E47" s="51">
        <f t="shared" si="8"/>
        <v>0</v>
      </c>
      <c r="F47" s="52">
        <f t="shared" si="18"/>
        <v>0</v>
      </c>
      <c r="G47" s="52">
        <f t="shared" si="9"/>
        <v>0</v>
      </c>
      <c r="H47" s="52">
        <f t="shared" si="10"/>
        <v>0</v>
      </c>
      <c r="I47" s="117">
        <f t="shared" si="11"/>
        <v>0</v>
      </c>
      <c r="J47" s="117">
        <f t="shared" si="12"/>
        <v>0</v>
      </c>
      <c r="K47" s="117">
        <f t="shared" si="13"/>
        <v>0</v>
      </c>
      <c r="L47" s="52">
        <f t="shared" si="14"/>
        <v>0</v>
      </c>
      <c r="M47" s="52">
        <f t="shared" si="15"/>
        <v>0</v>
      </c>
      <c r="N47" s="132">
        <f t="shared" si="5"/>
        <v>0.05</v>
      </c>
      <c r="O47" s="133">
        <v>0.04</v>
      </c>
      <c r="P47" s="133">
        <v>0</v>
      </c>
      <c r="Q47" s="133">
        <v>0</v>
      </c>
      <c r="R47" s="134">
        <f t="shared" si="16"/>
        <v>0.04</v>
      </c>
      <c r="S47" s="135">
        <v>4200</v>
      </c>
      <c r="T47" s="136">
        <v>3812.3091946422883</v>
      </c>
      <c r="U47" s="189">
        <f t="shared" si="6"/>
        <v>0</v>
      </c>
      <c r="V47" s="144">
        <f t="shared" si="0"/>
        <v>41</v>
      </c>
      <c r="W47" s="184">
        <f t="shared" si="1"/>
        <v>88731.1942075228</v>
      </c>
      <c r="X47" s="184">
        <f t="shared" si="2"/>
        <v>88731.1942075228</v>
      </c>
      <c r="Y47" s="184">
        <f t="shared" si="3"/>
        <v>44365.5971037614</v>
      </c>
    </row>
    <row r="48" spans="2:25" ht="15" customHeight="1">
      <c r="B48" s="115">
        <f t="shared" si="17"/>
        <v>1956</v>
      </c>
      <c r="C48" s="116">
        <f t="shared" si="4"/>
        <v>8</v>
      </c>
      <c r="D48" s="51">
        <f t="shared" si="7"/>
        <v>0</v>
      </c>
      <c r="E48" s="51">
        <f t="shared" si="8"/>
        <v>0</v>
      </c>
      <c r="F48" s="52">
        <f t="shared" si="18"/>
        <v>0</v>
      </c>
      <c r="G48" s="52">
        <f t="shared" si="9"/>
        <v>0</v>
      </c>
      <c r="H48" s="52">
        <f t="shared" si="10"/>
        <v>0</v>
      </c>
      <c r="I48" s="117">
        <f t="shared" si="11"/>
        <v>0</v>
      </c>
      <c r="J48" s="117">
        <f t="shared" si="12"/>
        <v>0</v>
      </c>
      <c r="K48" s="117">
        <f t="shared" si="13"/>
        <v>0</v>
      </c>
      <c r="L48" s="52">
        <f t="shared" si="14"/>
        <v>0</v>
      </c>
      <c r="M48" s="52">
        <f t="shared" si="15"/>
        <v>0</v>
      </c>
      <c r="N48" s="132">
        <f t="shared" si="5"/>
        <v>0.05</v>
      </c>
      <c r="O48" s="133">
        <v>0.04</v>
      </c>
      <c r="P48" s="133">
        <v>0</v>
      </c>
      <c r="Q48" s="133">
        <v>0</v>
      </c>
      <c r="R48" s="134">
        <f t="shared" si="16"/>
        <v>0.04</v>
      </c>
      <c r="S48" s="135">
        <v>4200</v>
      </c>
      <c r="T48" s="136">
        <v>4070.397507987256</v>
      </c>
      <c r="U48" s="189">
        <f t="shared" si="6"/>
        <v>0</v>
      </c>
      <c r="V48" s="144">
        <f t="shared" si="0"/>
        <v>42</v>
      </c>
      <c r="W48" s="184">
        <f t="shared" si="1"/>
        <v>90712.01497844594</v>
      </c>
      <c r="X48" s="184">
        <f t="shared" si="2"/>
        <v>90712.01497844594</v>
      </c>
      <c r="Y48" s="184">
        <f t="shared" si="3"/>
        <v>45356.00748922297</v>
      </c>
    </row>
    <row r="49" spans="2:25" ht="15" customHeight="1">
      <c r="B49" s="115">
        <f t="shared" si="17"/>
        <v>1957</v>
      </c>
      <c r="C49" s="116">
        <f t="shared" si="4"/>
        <v>9</v>
      </c>
      <c r="D49" s="51">
        <f t="shared" si="7"/>
        <v>0</v>
      </c>
      <c r="E49" s="51">
        <f t="shared" si="8"/>
        <v>0</v>
      </c>
      <c r="F49" s="52">
        <f t="shared" si="18"/>
        <v>0</v>
      </c>
      <c r="G49" s="52">
        <f t="shared" si="9"/>
        <v>0</v>
      </c>
      <c r="H49" s="52">
        <f t="shared" si="10"/>
        <v>0</v>
      </c>
      <c r="I49" s="117">
        <f t="shared" si="11"/>
        <v>0</v>
      </c>
      <c r="J49" s="117">
        <f t="shared" si="12"/>
        <v>0</v>
      </c>
      <c r="K49" s="117">
        <f t="shared" si="13"/>
        <v>0</v>
      </c>
      <c r="L49" s="52">
        <f t="shared" si="14"/>
        <v>0</v>
      </c>
      <c r="M49" s="52">
        <f t="shared" si="15"/>
        <v>0</v>
      </c>
      <c r="N49" s="132">
        <f t="shared" si="5"/>
        <v>0.05</v>
      </c>
      <c r="O49" s="133">
        <v>0.04</v>
      </c>
      <c r="P49" s="133">
        <v>0.005</v>
      </c>
      <c r="Q49" s="133">
        <v>0</v>
      </c>
      <c r="R49" s="134">
        <f t="shared" si="16"/>
        <v>0.045</v>
      </c>
      <c r="S49" s="135">
        <v>4200</v>
      </c>
      <c r="T49" s="136">
        <v>4234.671146716197</v>
      </c>
      <c r="U49" s="189">
        <f t="shared" si="6"/>
        <v>0</v>
      </c>
      <c r="V49" s="144">
        <f t="shared" si="0"/>
        <v>43</v>
      </c>
      <c r="W49" s="184">
        <f t="shared" si="1"/>
        <v>92684.61657604574</v>
      </c>
      <c r="X49" s="184">
        <f t="shared" si="2"/>
        <v>92684.61657604574</v>
      </c>
      <c r="Y49" s="184">
        <f t="shared" si="3"/>
        <v>46342.30828802287</v>
      </c>
    </row>
    <row r="50" spans="2:25" ht="15" customHeight="1">
      <c r="B50" s="115">
        <f t="shared" si="17"/>
        <v>1958</v>
      </c>
      <c r="C50" s="116">
        <f t="shared" si="4"/>
        <v>10</v>
      </c>
      <c r="D50" s="51">
        <f t="shared" si="7"/>
        <v>0</v>
      </c>
      <c r="E50" s="51">
        <f t="shared" si="8"/>
        <v>0</v>
      </c>
      <c r="F50" s="52">
        <f t="shared" si="18"/>
        <v>0</v>
      </c>
      <c r="G50" s="52">
        <f t="shared" si="9"/>
        <v>0</v>
      </c>
      <c r="H50" s="52">
        <f t="shared" si="10"/>
        <v>0</v>
      </c>
      <c r="I50" s="117">
        <f t="shared" si="11"/>
        <v>0</v>
      </c>
      <c r="J50" s="117">
        <f t="shared" si="12"/>
        <v>0</v>
      </c>
      <c r="K50" s="117">
        <f t="shared" si="13"/>
        <v>0</v>
      </c>
      <c r="L50" s="52">
        <f t="shared" si="14"/>
        <v>0</v>
      </c>
      <c r="M50" s="52">
        <f t="shared" si="15"/>
        <v>0</v>
      </c>
      <c r="N50" s="132">
        <f t="shared" si="5"/>
        <v>0.05</v>
      </c>
      <c r="O50" s="133">
        <v>0.04</v>
      </c>
      <c r="P50" s="133">
        <v>0.005</v>
      </c>
      <c r="Q50" s="133">
        <v>0</v>
      </c>
      <c r="R50" s="134">
        <f t="shared" si="16"/>
        <v>0.045</v>
      </c>
      <c r="S50" s="135">
        <v>4200</v>
      </c>
      <c r="T50" s="136">
        <v>4216.942461974511</v>
      </c>
      <c r="U50" s="189">
        <f t="shared" si="6"/>
        <v>0</v>
      </c>
      <c r="V50" s="144">
        <f t="shared" si="0"/>
        <v>44</v>
      </c>
      <c r="W50" s="184">
        <f t="shared" si="1"/>
        <v>94649.03310477584</v>
      </c>
      <c r="X50" s="184">
        <f t="shared" si="2"/>
        <v>94649.03310477584</v>
      </c>
      <c r="Y50" s="184">
        <f t="shared" si="3"/>
        <v>47324.51655238792</v>
      </c>
    </row>
    <row r="51" spans="2:25" s="22" customFormat="1" ht="15" customHeight="1">
      <c r="B51" s="115">
        <f t="shared" si="17"/>
        <v>1959</v>
      </c>
      <c r="C51" s="116">
        <f t="shared" si="4"/>
        <v>11</v>
      </c>
      <c r="D51" s="51">
        <f t="shared" si="7"/>
        <v>0</v>
      </c>
      <c r="E51" s="51">
        <f t="shared" si="8"/>
        <v>0</v>
      </c>
      <c r="F51" s="52">
        <f t="shared" si="18"/>
        <v>0</v>
      </c>
      <c r="G51" s="52">
        <f t="shared" si="9"/>
        <v>0</v>
      </c>
      <c r="H51" s="52">
        <f t="shared" si="10"/>
        <v>0</v>
      </c>
      <c r="I51" s="117">
        <f t="shared" si="11"/>
        <v>0</v>
      </c>
      <c r="J51" s="117">
        <f t="shared" si="12"/>
        <v>0</v>
      </c>
      <c r="K51" s="117">
        <f t="shared" si="13"/>
        <v>0</v>
      </c>
      <c r="L51" s="52">
        <f t="shared" si="14"/>
        <v>0</v>
      </c>
      <c r="M51" s="52">
        <f t="shared" si="15"/>
        <v>0</v>
      </c>
      <c r="N51" s="132">
        <f t="shared" si="5"/>
        <v>0.05</v>
      </c>
      <c r="O51" s="133">
        <v>0.045</v>
      </c>
      <c r="P51" s="133">
        <v>0.005</v>
      </c>
      <c r="Q51" s="133">
        <v>0</v>
      </c>
      <c r="R51" s="134">
        <f t="shared" si="16"/>
        <v>0.049999999999999996</v>
      </c>
      <c r="S51" s="135">
        <v>4800</v>
      </c>
      <c r="T51" s="136">
        <v>4501.4266353782095</v>
      </c>
      <c r="U51" s="189">
        <f t="shared" si="6"/>
        <v>0</v>
      </c>
      <c r="V51" s="144">
        <f t="shared" si="0"/>
        <v>45</v>
      </c>
      <c r="W51" s="184">
        <f t="shared" si="1"/>
        <v>96605.2985275776</v>
      </c>
      <c r="X51" s="184">
        <f t="shared" si="2"/>
        <v>96605.2985275776</v>
      </c>
      <c r="Y51" s="184">
        <f t="shared" si="3"/>
        <v>48302.6492637888</v>
      </c>
    </row>
    <row r="52" spans="2:25" ht="15" customHeight="1">
      <c r="B52" s="115">
        <f t="shared" si="17"/>
        <v>1960</v>
      </c>
      <c r="C52" s="116">
        <f t="shared" si="4"/>
        <v>12</v>
      </c>
      <c r="D52" s="51">
        <f t="shared" si="7"/>
        <v>0</v>
      </c>
      <c r="E52" s="51">
        <f t="shared" si="8"/>
        <v>0</v>
      </c>
      <c r="F52" s="52">
        <f t="shared" si="18"/>
        <v>0</v>
      </c>
      <c r="G52" s="52">
        <f t="shared" si="9"/>
        <v>0</v>
      </c>
      <c r="H52" s="52">
        <f t="shared" si="10"/>
        <v>0</v>
      </c>
      <c r="I52" s="117">
        <f t="shared" si="11"/>
        <v>0</v>
      </c>
      <c r="J52" s="117">
        <f t="shared" si="12"/>
        <v>0</v>
      </c>
      <c r="K52" s="117">
        <f t="shared" si="13"/>
        <v>0</v>
      </c>
      <c r="L52" s="52">
        <f t="shared" si="14"/>
        <v>0</v>
      </c>
      <c r="M52" s="52">
        <f t="shared" si="15"/>
        <v>0</v>
      </c>
      <c r="N52" s="132">
        <f t="shared" si="5"/>
        <v>0.05</v>
      </c>
      <c r="O52" s="133">
        <v>0.055</v>
      </c>
      <c r="P52" s="133">
        <v>0.005</v>
      </c>
      <c r="Q52" s="133">
        <v>0</v>
      </c>
      <c r="R52" s="134">
        <f t="shared" si="16"/>
        <v>0.06</v>
      </c>
      <c r="S52" s="135">
        <v>4800</v>
      </c>
      <c r="T52" s="136">
        <v>4630.540254317648</v>
      </c>
      <c r="U52" s="189">
        <f t="shared" si="6"/>
        <v>0</v>
      </c>
      <c r="V52" s="144">
        <f t="shared" si="0"/>
        <v>46</v>
      </c>
      <c r="W52" s="184">
        <f t="shared" si="1"/>
        <v>98553.44666646732</v>
      </c>
      <c r="X52" s="184">
        <f t="shared" si="2"/>
        <v>98553.44666646732</v>
      </c>
      <c r="Y52" s="184">
        <f t="shared" si="3"/>
        <v>49276.72333323366</v>
      </c>
    </row>
    <row r="53" spans="2:25" ht="15" customHeight="1">
      <c r="B53" s="115">
        <f t="shared" si="17"/>
        <v>1961</v>
      </c>
      <c r="C53" s="116">
        <f t="shared" si="4"/>
        <v>13</v>
      </c>
      <c r="D53" s="51">
        <f t="shared" si="7"/>
        <v>0</v>
      </c>
      <c r="E53" s="51">
        <f t="shared" si="8"/>
        <v>0</v>
      </c>
      <c r="F53" s="52">
        <f t="shared" si="18"/>
        <v>0</v>
      </c>
      <c r="G53" s="52">
        <f t="shared" si="9"/>
        <v>0</v>
      </c>
      <c r="H53" s="52">
        <f t="shared" si="10"/>
        <v>0</v>
      </c>
      <c r="I53" s="117">
        <f t="shared" si="11"/>
        <v>0</v>
      </c>
      <c r="J53" s="117">
        <f t="shared" si="12"/>
        <v>0</v>
      </c>
      <c r="K53" s="117">
        <f t="shared" si="13"/>
        <v>0</v>
      </c>
      <c r="L53" s="52">
        <f t="shared" si="14"/>
        <v>0</v>
      </c>
      <c r="M53" s="52">
        <f t="shared" si="15"/>
        <v>0</v>
      </c>
      <c r="N53" s="132">
        <f t="shared" si="5"/>
        <v>0.05</v>
      </c>
      <c r="O53" s="133">
        <v>0.055</v>
      </c>
      <c r="P53" s="133">
        <v>0.005</v>
      </c>
      <c r="Q53" s="133">
        <v>0</v>
      </c>
      <c r="R53" s="134">
        <f t="shared" si="16"/>
        <v>0.06</v>
      </c>
      <c r="S53" s="135">
        <v>4800</v>
      </c>
      <c r="T53" s="136">
        <v>4732.1740724752835</v>
      </c>
      <c r="U53" s="189">
        <f t="shared" si="6"/>
        <v>0</v>
      </c>
      <c r="V53" s="144">
        <f t="shared" si="0"/>
        <v>47</v>
      </c>
      <c r="W53" s="184">
        <f t="shared" si="1"/>
        <v>100493.51120312099</v>
      </c>
      <c r="X53" s="184">
        <f t="shared" si="2"/>
        <v>100493.51120312099</v>
      </c>
      <c r="Y53" s="184">
        <f t="shared" si="3"/>
        <v>50246.75560156049</v>
      </c>
    </row>
    <row r="54" spans="2:25" ht="15" customHeight="1">
      <c r="B54" s="115">
        <f t="shared" si="17"/>
        <v>1962</v>
      </c>
      <c r="C54" s="116">
        <f t="shared" si="4"/>
        <v>14</v>
      </c>
      <c r="D54" s="51">
        <f t="shared" si="7"/>
        <v>0</v>
      </c>
      <c r="E54" s="51">
        <f t="shared" si="8"/>
        <v>0</v>
      </c>
      <c r="F54" s="52">
        <f t="shared" si="18"/>
        <v>0</v>
      </c>
      <c r="G54" s="52">
        <f t="shared" si="9"/>
        <v>0</v>
      </c>
      <c r="H54" s="52">
        <f t="shared" si="10"/>
        <v>0</v>
      </c>
      <c r="I54" s="117">
        <f t="shared" si="11"/>
        <v>0</v>
      </c>
      <c r="J54" s="117">
        <f t="shared" si="12"/>
        <v>0</v>
      </c>
      <c r="K54" s="117">
        <f t="shared" si="13"/>
        <v>0</v>
      </c>
      <c r="L54" s="52">
        <f t="shared" si="14"/>
        <v>0</v>
      </c>
      <c r="M54" s="52">
        <f t="shared" si="15"/>
        <v>0</v>
      </c>
      <c r="N54" s="132">
        <f t="shared" si="5"/>
        <v>0.05</v>
      </c>
      <c r="O54" s="132">
        <v>0.0575</v>
      </c>
      <c r="P54" s="133">
        <v>0.005</v>
      </c>
      <c r="Q54" s="132">
        <v>0</v>
      </c>
      <c r="R54" s="134">
        <f t="shared" si="16"/>
        <v>0.0625</v>
      </c>
      <c r="S54" s="137">
        <v>4800</v>
      </c>
      <c r="T54" s="136">
        <v>4954.137456743608</v>
      </c>
      <c r="U54" s="189">
        <f t="shared" si="6"/>
        <v>0</v>
      </c>
      <c r="V54" s="144">
        <f t="shared" si="0"/>
        <v>48</v>
      </c>
      <c r="W54" s="184">
        <f t="shared" si="1"/>
        <v>102425.52567945658</v>
      </c>
      <c r="X54" s="184">
        <f t="shared" si="2"/>
        <v>102425.52567945658</v>
      </c>
      <c r="Y54" s="184">
        <f t="shared" si="3"/>
        <v>51212.76283972829</v>
      </c>
    </row>
    <row r="55" spans="2:25" ht="15" customHeight="1">
      <c r="B55" s="115">
        <f t="shared" si="17"/>
        <v>1963</v>
      </c>
      <c r="C55" s="116">
        <f t="shared" si="4"/>
        <v>15</v>
      </c>
      <c r="D55" s="51">
        <f t="shared" si="7"/>
        <v>0</v>
      </c>
      <c r="E55" s="51">
        <f t="shared" si="8"/>
        <v>0</v>
      </c>
      <c r="F55" s="52">
        <f t="shared" si="18"/>
        <v>0</v>
      </c>
      <c r="G55" s="52">
        <f t="shared" si="9"/>
        <v>0</v>
      </c>
      <c r="H55" s="52">
        <f t="shared" si="10"/>
        <v>0</v>
      </c>
      <c r="I55" s="117">
        <f t="shared" si="11"/>
        <v>0</v>
      </c>
      <c r="J55" s="117">
        <f t="shared" si="12"/>
        <v>0</v>
      </c>
      <c r="K55" s="117">
        <f t="shared" si="13"/>
        <v>0</v>
      </c>
      <c r="L55" s="52">
        <f t="shared" si="14"/>
        <v>0</v>
      </c>
      <c r="M55" s="52">
        <f t="shared" si="15"/>
        <v>0</v>
      </c>
      <c r="N55" s="132">
        <f t="shared" si="5"/>
        <v>0.05</v>
      </c>
      <c r="O55" s="132">
        <v>0.0675</v>
      </c>
      <c r="P55" s="133">
        <v>0.005</v>
      </c>
      <c r="Q55" s="132">
        <v>0</v>
      </c>
      <c r="R55" s="134">
        <f t="shared" si="16"/>
        <v>0.07250000000000001</v>
      </c>
      <c r="S55" s="137">
        <v>4800</v>
      </c>
      <c r="T55" s="136">
        <v>5145.703033374037</v>
      </c>
      <c r="U55" s="189">
        <f t="shared" si="6"/>
        <v>0</v>
      </c>
      <c r="V55" s="144">
        <f t="shared" si="0"/>
        <v>49</v>
      </c>
      <c r="W55" s="184">
        <f t="shared" si="1"/>
        <v>104349.52349821402</v>
      </c>
      <c r="X55" s="184">
        <f t="shared" si="2"/>
        <v>104349.52349821402</v>
      </c>
      <c r="Y55" s="184">
        <f t="shared" si="3"/>
        <v>52174.76174910701</v>
      </c>
    </row>
    <row r="56" spans="2:25" ht="15" customHeight="1">
      <c r="B56" s="115">
        <f t="shared" si="17"/>
        <v>1964</v>
      </c>
      <c r="C56" s="116">
        <f t="shared" si="4"/>
        <v>16</v>
      </c>
      <c r="D56" s="51">
        <f t="shared" si="7"/>
        <v>4800</v>
      </c>
      <c r="E56" s="51">
        <f t="shared" si="8"/>
        <v>4800</v>
      </c>
      <c r="F56" s="52">
        <f t="shared" si="18"/>
        <v>324</v>
      </c>
      <c r="G56" s="52">
        <f t="shared" si="9"/>
        <v>24</v>
      </c>
      <c r="H56" s="52">
        <f t="shared" si="10"/>
        <v>0</v>
      </c>
      <c r="I56" s="117">
        <f t="shared" si="11"/>
        <v>332.1</v>
      </c>
      <c r="J56" s="117">
        <f t="shared" si="12"/>
        <v>24.6</v>
      </c>
      <c r="K56" s="117">
        <f t="shared" si="13"/>
        <v>0</v>
      </c>
      <c r="L56" s="52">
        <f t="shared" si="14"/>
        <v>356.70000000000005</v>
      </c>
      <c r="M56" s="52">
        <f t="shared" si="15"/>
        <v>8.700000000000045</v>
      </c>
      <c r="N56" s="132">
        <f t="shared" si="5"/>
        <v>0.05</v>
      </c>
      <c r="O56" s="132">
        <v>0.0675</v>
      </c>
      <c r="P56" s="133">
        <v>0.005</v>
      </c>
      <c r="Q56" s="132">
        <v>0</v>
      </c>
      <c r="R56" s="134">
        <f t="shared" si="16"/>
        <v>0.07250000000000001</v>
      </c>
      <c r="S56" s="137">
        <v>4800</v>
      </c>
      <c r="T56" s="136">
        <v>5464.207508254978</v>
      </c>
      <c r="U56" s="189">
        <f t="shared" si="6"/>
        <v>1</v>
      </c>
      <c r="V56" s="144">
        <f t="shared" si="0"/>
        <v>50</v>
      </c>
      <c r="W56" s="184">
        <f t="shared" si="1"/>
        <v>106265.53792353264</v>
      </c>
      <c r="X56" s="184">
        <f t="shared" si="2"/>
        <v>106265.53792353264</v>
      </c>
      <c r="Y56" s="184">
        <f t="shared" si="3"/>
        <v>53132.76896176632</v>
      </c>
    </row>
    <row r="57" spans="2:25" ht="15" customHeight="1">
      <c r="B57" s="115">
        <f t="shared" si="17"/>
        <v>1965</v>
      </c>
      <c r="C57" s="116">
        <f t="shared" si="4"/>
        <v>17</v>
      </c>
      <c r="D57" s="51">
        <f t="shared" si="7"/>
        <v>4800</v>
      </c>
      <c r="E57" s="51">
        <f t="shared" si="8"/>
        <v>9600</v>
      </c>
      <c r="F57" s="52">
        <f t="shared" si="18"/>
        <v>648</v>
      </c>
      <c r="G57" s="52">
        <f t="shared" si="9"/>
        <v>48</v>
      </c>
      <c r="H57" s="52">
        <f t="shared" si="10"/>
        <v>0</v>
      </c>
      <c r="I57" s="117">
        <f t="shared" si="11"/>
        <v>680.8050000000001</v>
      </c>
      <c r="J57" s="117">
        <f t="shared" si="12"/>
        <v>50.43000000000001</v>
      </c>
      <c r="K57" s="117">
        <f t="shared" si="13"/>
        <v>0</v>
      </c>
      <c r="L57" s="52">
        <f t="shared" si="14"/>
        <v>731.2350000000001</v>
      </c>
      <c r="M57" s="52">
        <f t="shared" si="15"/>
        <v>35.23500000000013</v>
      </c>
      <c r="N57" s="132">
        <f t="shared" si="5"/>
        <v>0.05</v>
      </c>
      <c r="O57" s="132">
        <v>0.0675</v>
      </c>
      <c r="P57" s="133">
        <v>0.005</v>
      </c>
      <c r="Q57" s="132">
        <v>0</v>
      </c>
      <c r="R57" s="134">
        <f t="shared" si="16"/>
        <v>0.07250000000000001</v>
      </c>
      <c r="S57" s="137">
        <v>4800</v>
      </c>
      <c r="T57" s="136">
        <v>5779.932387749927</v>
      </c>
      <c r="U57" s="189">
        <f t="shared" si="6"/>
        <v>1</v>
      </c>
      <c r="V57" s="144">
        <f t="shared" si="0"/>
        <v>51</v>
      </c>
      <c r="W57" s="184">
        <f t="shared" si="1"/>
        <v>108173.60208152627</v>
      </c>
      <c r="X57" s="184">
        <f t="shared" si="2"/>
        <v>108173.60208152627</v>
      </c>
      <c r="Y57" s="184">
        <f t="shared" si="3"/>
        <v>54086.80104076314</v>
      </c>
    </row>
    <row r="58" spans="2:25" ht="15" customHeight="1">
      <c r="B58" s="115">
        <f t="shared" si="17"/>
        <v>1966</v>
      </c>
      <c r="C58" s="116">
        <f t="shared" si="4"/>
        <v>18</v>
      </c>
      <c r="D58" s="51">
        <f t="shared" si="7"/>
        <v>6600</v>
      </c>
      <c r="E58" s="51">
        <f t="shared" si="8"/>
        <v>16200</v>
      </c>
      <c r="F58" s="52">
        <f t="shared" si="18"/>
        <v>1110</v>
      </c>
      <c r="G58" s="52">
        <f t="shared" si="9"/>
        <v>94.19999999999999</v>
      </c>
      <c r="H58" s="52">
        <f t="shared" si="10"/>
        <v>46.20000000000001</v>
      </c>
      <c r="I58" s="117">
        <f t="shared" si="11"/>
        <v>1188.39525</v>
      </c>
      <c r="J58" s="117">
        <f t="shared" si="12"/>
        <v>100.3065</v>
      </c>
      <c r="K58" s="117">
        <f t="shared" si="13"/>
        <v>47.35500000000001</v>
      </c>
      <c r="L58" s="52">
        <f t="shared" si="14"/>
        <v>1336.05675</v>
      </c>
      <c r="M58" s="52">
        <f t="shared" si="15"/>
        <v>85.65674999999987</v>
      </c>
      <c r="N58" s="132">
        <f t="shared" si="5"/>
        <v>0.05</v>
      </c>
      <c r="O58" s="132">
        <v>0.07</v>
      </c>
      <c r="P58" s="133">
        <v>0.006999999999999999</v>
      </c>
      <c r="Q58" s="138">
        <v>0.007000000000000001</v>
      </c>
      <c r="R58" s="134">
        <f t="shared" si="16"/>
        <v>0.08400000000000002</v>
      </c>
      <c r="S58" s="137">
        <v>6600</v>
      </c>
      <c r="T58" s="136">
        <v>6208.184894916481</v>
      </c>
      <c r="U58" s="189">
        <f t="shared" si="6"/>
        <v>1</v>
      </c>
      <c r="V58" s="144">
        <f t="shared" si="0"/>
        <v>52</v>
      </c>
      <c r="W58" s="184">
        <f t="shared" si="1"/>
        <v>110073.74896085604</v>
      </c>
      <c r="X58" s="184">
        <f t="shared" si="2"/>
        <v>110073.74896085604</v>
      </c>
      <c r="Y58" s="184">
        <f t="shared" si="3"/>
        <v>55036.87448042802</v>
      </c>
    </row>
    <row r="59" spans="2:25" ht="15" customHeight="1">
      <c r="B59" s="115">
        <f t="shared" si="17"/>
        <v>1967</v>
      </c>
      <c r="C59" s="116">
        <f t="shared" si="4"/>
        <v>19</v>
      </c>
      <c r="D59" s="51">
        <f t="shared" si="7"/>
        <v>6600</v>
      </c>
      <c r="E59" s="51">
        <f t="shared" si="8"/>
        <v>22800</v>
      </c>
      <c r="F59" s="52">
        <f t="shared" si="18"/>
        <v>1578.6</v>
      </c>
      <c r="G59" s="52">
        <f t="shared" si="9"/>
        <v>140.39999999999998</v>
      </c>
      <c r="H59" s="52">
        <f t="shared" si="10"/>
        <v>112.20000000000002</v>
      </c>
      <c r="I59" s="117">
        <f t="shared" si="11"/>
        <v>1728.1300125</v>
      </c>
      <c r="J59" s="117">
        <f t="shared" si="12"/>
        <v>152.676825</v>
      </c>
      <c r="K59" s="117">
        <f t="shared" si="13"/>
        <v>117.37275000000002</v>
      </c>
      <c r="L59" s="52">
        <f t="shared" si="14"/>
        <v>1998.1795875</v>
      </c>
      <c r="M59" s="52">
        <f t="shared" si="15"/>
        <v>166.97958749999998</v>
      </c>
      <c r="N59" s="132">
        <f t="shared" si="5"/>
        <v>0.05</v>
      </c>
      <c r="O59" s="132">
        <v>0.071</v>
      </c>
      <c r="P59" s="133">
        <v>0.006999999999999999</v>
      </c>
      <c r="Q59" s="138">
        <v>0.01</v>
      </c>
      <c r="R59" s="134">
        <f t="shared" si="16"/>
        <v>0.08799999999999998</v>
      </c>
      <c r="S59" s="137">
        <v>6600</v>
      </c>
      <c r="T59" s="136">
        <v>6555.20272854278</v>
      </c>
      <c r="U59" s="189">
        <f t="shared" si="6"/>
        <v>1</v>
      </c>
      <c r="V59" s="144">
        <f t="shared" si="0"/>
        <v>53</v>
      </c>
      <c r="W59" s="184">
        <f t="shared" si="1"/>
        <v>111966.01141330063</v>
      </c>
      <c r="X59" s="184">
        <f t="shared" si="2"/>
        <v>111966.01141330063</v>
      </c>
      <c r="Y59" s="184">
        <f t="shared" si="3"/>
        <v>55983.005706650314</v>
      </c>
    </row>
    <row r="60" spans="2:25" s="22" customFormat="1" ht="15" customHeight="1">
      <c r="B60" s="115">
        <f t="shared" si="17"/>
        <v>1968</v>
      </c>
      <c r="C60" s="116">
        <f t="shared" si="4"/>
        <v>20</v>
      </c>
      <c r="D60" s="51">
        <f t="shared" si="7"/>
        <v>7800</v>
      </c>
      <c r="E60" s="51">
        <f t="shared" si="8"/>
        <v>30600</v>
      </c>
      <c r="F60" s="52">
        <f t="shared" si="18"/>
        <v>2097.3</v>
      </c>
      <c r="G60" s="52">
        <f t="shared" si="9"/>
        <v>214.49999999999997</v>
      </c>
      <c r="H60" s="52">
        <f t="shared" si="10"/>
        <v>205.8</v>
      </c>
      <c r="I60" s="117">
        <f t="shared" si="11"/>
        <v>2346.204013125</v>
      </c>
      <c r="J60" s="117">
        <f t="shared" si="12"/>
        <v>236.26316625</v>
      </c>
      <c r="K60" s="117">
        <f t="shared" si="13"/>
        <v>219.18138750000003</v>
      </c>
      <c r="L60" s="52">
        <f t="shared" si="14"/>
        <v>2801.648566875</v>
      </c>
      <c r="M60" s="52">
        <f t="shared" si="15"/>
        <v>284.0485668749998</v>
      </c>
      <c r="N60" s="132">
        <f t="shared" si="5"/>
        <v>0.05</v>
      </c>
      <c r="O60" s="132">
        <v>0.0665</v>
      </c>
      <c r="P60" s="133">
        <v>0.0095</v>
      </c>
      <c r="Q60" s="138">
        <v>0.012</v>
      </c>
      <c r="R60" s="134">
        <f t="shared" si="16"/>
        <v>0.088</v>
      </c>
      <c r="S60" s="137">
        <v>7800</v>
      </c>
      <c r="T60" s="136">
        <v>7053.811504728738</v>
      </c>
      <c r="U60" s="189">
        <f t="shared" si="6"/>
        <v>1</v>
      </c>
      <c r="V60" s="144">
        <f t="shared" si="0"/>
        <v>54</v>
      </c>
      <c r="W60" s="184">
        <f t="shared" si="1"/>
        <v>113850.42215432427</v>
      </c>
      <c r="X60" s="184">
        <f t="shared" si="2"/>
        <v>113850.42215432427</v>
      </c>
      <c r="Y60" s="184">
        <f t="shared" si="3"/>
        <v>56925.21107716214</v>
      </c>
    </row>
    <row r="61" spans="2:25" ht="15" customHeight="1">
      <c r="B61" s="115">
        <f t="shared" si="17"/>
        <v>1969</v>
      </c>
      <c r="C61" s="116">
        <f aca="true" t="shared" si="19" ref="C61:C92">IF(($B61-$F$15)&gt;0,($B61-$F$15),0)</f>
        <v>21</v>
      </c>
      <c r="D61" s="51">
        <f t="shared" si="7"/>
        <v>7800</v>
      </c>
      <c r="E61" s="51">
        <f t="shared" si="8"/>
        <v>38400</v>
      </c>
      <c r="F61" s="52">
        <f t="shared" si="18"/>
        <v>2678.4</v>
      </c>
      <c r="G61" s="52">
        <f t="shared" si="9"/>
        <v>288.59999999999997</v>
      </c>
      <c r="H61" s="52">
        <f t="shared" si="10"/>
        <v>299.40000000000003</v>
      </c>
      <c r="I61" s="117">
        <f t="shared" si="11"/>
        <v>3059.14171378125</v>
      </c>
      <c r="J61" s="117">
        <f t="shared" si="12"/>
        <v>324.0288245625</v>
      </c>
      <c r="K61" s="117">
        <f t="shared" si="13"/>
        <v>326.08045687500004</v>
      </c>
      <c r="L61" s="52">
        <f t="shared" si="14"/>
        <v>3709.25099521875</v>
      </c>
      <c r="M61" s="52">
        <f t="shared" si="15"/>
        <v>442.8509952187501</v>
      </c>
      <c r="N61" s="132">
        <f aca="true" t="shared" si="20" ref="N61:N92">$F$20</f>
        <v>0.05</v>
      </c>
      <c r="O61" s="132">
        <v>0.0745</v>
      </c>
      <c r="P61" s="133">
        <v>0.0095</v>
      </c>
      <c r="Q61" s="138">
        <v>0.012</v>
      </c>
      <c r="R61" s="134">
        <f t="shared" si="16"/>
        <v>0.09599999999999999</v>
      </c>
      <c r="S61" s="137">
        <v>7800</v>
      </c>
      <c r="T61" s="136">
        <v>7547.660099705453</v>
      </c>
      <c r="U61" s="189">
        <f aca="true" t="shared" si="21" ref="U61:U92">IF((B61&lt;($F$16+$F$17)),1,0)*IF((B61&gt;($F$16-1)),1,0)</f>
        <v>1</v>
      </c>
      <c r="V61" s="144">
        <f t="shared" si="0"/>
        <v>55</v>
      </c>
      <c r="W61" s="184">
        <f t="shared" si="1"/>
        <v>115727.01376364243</v>
      </c>
      <c r="X61" s="184">
        <f t="shared" si="2"/>
        <v>115727.01376364243</v>
      </c>
      <c r="Y61" s="184">
        <f t="shared" si="3"/>
        <v>57863.50688182122</v>
      </c>
    </row>
    <row r="62" spans="2:254" s="108" customFormat="1" ht="15" customHeight="1">
      <c r="B62" s="115">
        <f t="shared" si="17"/>
        <v>1970</v>
      </c>
      <c r="C62" s="116">
        <f t="shared" si="19"/>
        <v>22</v>
      </c>
      <c r="D62" s="51">
        <f aca="true" t="shared" si="22" ref="D62:D93">$U62*IF($B62&lt;$F$16+1,IF(3=$H$18,$S62,$F$18),IF(1=$H$18,$D61*(1+($T62-$T61)/$T61),IF(2=$H$18,$D61*(1+$F$19),$S62)))</f>
        <v>7800</v>
      </c>
      <c r="E62" s="51">
        <f aca="true" t="shared" si="23" ref="E62:E93">$U62*IF(B62&gt;$F$16,E61+D62,D62)</f>
        <v>46200</v>
      </c>
      <c r="F62" s="52">
        <f t="shared" si="18"/>
        <v>3247.8</v>
      </c>
      <c r="G62" s="52">
        <f aca="true" t="shared" si="24" ref="G62:G93">$U62*(IF($S62&gt;$D62,($P62*$D62),($P62*$S62))+G61)</f>
        <v>374.4</v>
      </c>
      <c r="H62" s="52">
        <f aca="true" t="shared" si="25" ref="H62:H82">$U62*(IF($S62&gt;$D62,$Q62*$D62,$Q62*$S62)+H61)</f>
        <v>393.00000000000006</v>
      </c>
      <c r="I62" s="117">
        <f aca="true" t="shared" si="26" ref="I62:I93">$U62*(IF($S62&gt;$D62,(($O62*$D62*$N62/2)+$O62*$D62)+I61*$N62,(($O62*$S62*$N62/2)+$O62*$S62)+I61*$N62)+I61)</f>
        <v>3795.7337994703125</v>
      </c>
      <c r="J62" s="117">
        <f aca="true" t="shared" si="27" ref="J62:J93">$U62*(IF($S62&gt;$D62,(($P62*$D62*$F$20/2)+((J61)*$F$20)+$P62*$D62),(($P62*$S62*$F$20/2)+$P62*$S62)+((+J61)*$F$20))+J61)</f>
        <v>428.175265790625</v>
      </c>
      <c r="K62" s="117">
        <f aca="true" t="shared" si="28" ref="K62:K93">$U62*(IF(OR($S62&gt;$D62,$B62&gt;1963),(($Q62*$D62*$F$20/2)+((K61)*$F$20)+$Q62*$D62),(($Q62*$S62*$F$20/2)+$Q62*$S62)+((+K61)*$F$20))+K61)</f>
        <v>438.32447971875</v>
      </c>
      <c r="L62" s="52">
        <f t="shared" si="14"/>
        <v>4662.233544979687</v>
      </c>
      <c r="M62" s="52">
        <f t="shared" si="15"/>
        <v>647.0335449796871</v>
      </c>
      <c r="N62" s="132">
        <f t="shared" si="20"/>
        <v>0.05</v>
      </c>
      <c r="O62" s="132">
        <v>0.073</v>
      </c>
      <c r="P62" s="133">
        <v>0.011000000000000001</v>
      </c>
      <c r="Q62" s="138">
        <v>0.012</v>
      </c>
      <c r="R62" s="134">
        <f t="shared" si="16"/>
        <v>0.09599999999999999</v>
      </c>
      <c r="S62" s="137">
        <v>7800</v>
      </c>
      <c r="T62" s="136">
        <v>8023.276610451579</v>
      </c>
      <c r="U62" s="189">
        <f t="shared" si="21"/>
        <v>1</v>
      </c>
      <c r="V62" s="144">
        <f t="shared" si="0"/>
        <v>56</v>
      </c>
      <c r="W62" s="184">
        <f t="shared" si="1"/>
        <v>117595.818685785</v>
      </c>
      <c r="X62" s="184">
        <f t="shared" si="2"/>
        <v>117595.818685785</v>
      </c>
      <c r="Y62" s="184">
        <f t="shared" si="3"/>
        <v>58797.9093428925</v>
      </c>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c r="IS62" s="22"/>
      <c r="IT62" s="22"/>
    </row>
    <row r="63" spans="2:25" ht="15" customHeight="1">
      <c r="B63" s="115">
        <f t="shared" si="17"/>
        <v>1971</v>
      </c>
      <c r="C63" s="116">
        <f t="shared" si="19"/>
        <v>23</v>
      </c>
      <c r="D63" s="51">
        <f t="shared" si="22"/>
        <v>7800</v>
      </c>
      <c r="E63" s="51">
        <f t="shared" si="23"/>
        <v>54000</v>
      </c>
      <c r="F63" s="52">
        <f aca="true" t="shared" si="29" ref="F63:F94">$U63*(IF($S63&gt;$D63,($O63*$D63),($O63*$S63))+F62)</f>
        <v>3879.6000000000004</v>
      </c>
      <c r="G63" s="52">
        <f t="shared" si="24"/>
        <v>460.2</v>
      </c>
      <c r="H63" s="52">
        <f t="shared" si="25"/>
        <v>486.6000000000001</v>
      </c>
      <c r="I63" s="117">
        <f t="shared" si="26"/>
        <v>4633.115489443828</v>
      </c>
      <c r="J63" s="117">
        <f t="shared" si="27"/>
        <v>537.5290290801563</v>
      </c>
      <c r="K63" s="117">
        <f t="shared" si="28"/>
        <v>556.1807037046875</v>
      </c>
      <c r="L63" s="52">
        <f t="shared" si="14"/>
        <v>5726.825222228672</v>
      </c>
      <c r="M63" s="52">
        <f t="shared" si="15"/>
        <v>900.4252222286714</v>
      </c>
      <c r="N63" s="132">
        <f t="shared" si="20"/>
        <v>0.05</v>
      </c>
      <c r="O63" s="132">
        <v>0.081</v>
      </c>
      <c r="P63" s="133">
        <v>0.011000000000000001</v>
      </c>
      <c r="Q63" s="138">
        <v>0.012</v>
      </c>
      <c r="R63" s="134">
        <f t="shared" si="16"/>
        <v>0.104</v>
      </c>
      <c r="S63" s="137">
        <v>7800</v>
      </c>
      <c r="T63" s="136">
        <v>8352.003711975429</v>
      </c>
      <c r="U63" s="189">
        <f t="shared" si="21"/>
        <v>1</v>
      </c>
      <c r="V63" s="144">
        <f t="shared" si="0"/>
        <v>57</v>
      </c>
      <c r="W63" s="184">
        <f t="shared" si="1"/>
        <v>119456.86923065725</v>
      </c>
      <c r="X63" s="184">
        <f t="shared" si="2"/>
        <v>119456.86923065725</v>
      </c>
      <c r="Y63" s="184">
        <f t="shared" si="3"/>
        <v>59728.434615328624</v>
      </c>
    </row>
    <row r="64" spans="2:25" ht="15" customHeight="1">
      <c r="B64" s="115">
        <f t="shared" si="17"/>
        <v>1972</v>
      </c>
      <c r="C64" s="116">
        <f t="shared" si="19"/>
        <v>24</v>
      </c>
      <c r="D64" s="51">
        <f t="shared" si="22"/>
        <v>9000</v>
      </c>
      <c r="E64" s="51">
        <f t="shared" si="23"/>
        <v>63000</v>
      </c>
      <c r="F64" s="52">
        <f t="shared" si="29"/>
        <v>4608.6</v>
      </c>
      <c r="G64" s="52">
        <f t="shared" si="24"/>
        <v>559.2</v>
      </c>
      <c r="H64" s="52">
        <f t="shared" si="25"/>
        <v>594.6000000000001</v>
      </c>
      <c r="I64" s="117">
        <f t="shared" si="26"/>
        <v>5611.996263916019</v>
      </c>
      <c r="J64" s="117">
        <f t="shared" si="27"/>
        <v>665.8804805341641</v>
      </c>
      <c r="K64" s="117">
        <f t="shared" si="28"/>
        <v>694.689738889922</v>
      </c>
      <c r="L64" s="52">
        <f t="shared" si="14"/>
        <v>6972.566483340106</v>
      </c>
      <c r="M64" s="52">
        <f t="shared" si="15"/>
        <v>1210.1664833401055</v>
      </c>
      <c r="N64" s="132">
        <f t="shared" si="20"/>
        <v>0.05</v>
      </c>
      <c r="O64" s="132">
        <v>0.081</v>
      </c>
      <c r="P64" s="133">
        <v>0.011000000000000001</v>
      </c>
      <c r="Q64" s="138">
        <v>0.012</v>
      </c>
      <c r="R64" s="134">
        <f t="shared" si="16"/>
        <v>0.104</v>
      </c>
      <c r="S64" s="137">
        <v>9000</v>
      </c>
      <c r="T64" s="136">
        <v>8977.55291980617</v>
      </c>
      <c r="U64" s="189">
        <f t="shared" si="21"/>
        <v>1</v>
      </c>
      <c r="V64" s="144">
        <f t="shared" si="0"/>
        <v>58</v>
      </c>
      <c r="W64" s="184">
        <f t="shared" si="1"/>
        <v>121310.1975740985</v>
      </c>
      <c r="X64" s="184">
        <f t="shared" si="2"/>
        <v>121310.1975740985</v>
      </c>
      <c r="Y64" s="184">
        <f t="shared" si="3"/>
        <v>60655.09878704925</v>
      </c>
    </row>
    <row r="65" spans="2:25" ht="15" customHeight="1">
      <c r="B65" s="115">
        <f t="shared" si="17"/>
        <v>1973</v>
      </c>
      <c r="C65" s="116">
        <f t="shared" si="19"/>
        <v>25</v>
      </c>
      <c r="D65" s="51">
        <f t="shared" si="22"/>
        <v>10800</v>
      </c>
      <c r="E65" s="51">
        <f t="shared" si="23"/>
        <v>73800</v>
      </c>
      <c r="F65" s="52">
        <f t="shared" si="29"/>
        <v>5537.400000000001</v>
      </c>
      <c r="G65" s="52">
        <f t="shared" si="24"/>
        <v>678</v>
      </c>
      <c r="H65" s="52">
        <f t="shared" si="25"/>
        <v>810.6000000000001</v>
      </c>
      <c r="I65" s="117">
        <f t="shared" si="26"/>
        <v>6844.61607711182</v>
      </c>
      <c r="J65" s="117">
        <f t="shared" si="27"/>
        <v>820.9445045608724</v>
      </c>
      <c r="K65" s="117">
        <f t="shared" si="28"/>
        <v>950.824225834418</v>
      </c>
      <c r="L65" s="52">
        <f t="shared" si="14"/>
        <v>8616.384807507111</v>
      </c>
      <c r="M65" s="52">
        <f t="shared" si="15"/>
        <v>1590.38480750711</v>
      </c>
      <c r="N65" s="132">
        <f t="shared" si="20"/>
        <v>0.05</v>
      </c>
      <c r="O65" s="132">
        <v>0.086</v>
      </c>
      <c r="P65" s="133">
        <v>0.011000000000000001</v>
      </c>
      <c r="Q65" s="138">
        <v>0.02</v>
      </c>
      <c r="R65" s="134">
        <f t="shared" si="16"/>
        <v>0.11699999999999999</v>
      </c>
      <c r="S65" s="137">
        <v>10800</v>
      </c>
      <c r="T65" s="136">
        <v>9734.090074386277</v>
      </c>
      <c r="U65" s="189">
        <f t="shared" si="21"/>
        <v>1</v>
      </c>
      <c r="V65" s="144">
        <f t="shared" si="0"/>
        <v>59</v>
      </c>
      <c r="W65" s="184">
        <f t="shared" si="1"/>
        <v>123155.83575843835</v>
      </c>
      <c r="X65" s="184">
        <f t="shared" si="2"/>
        <v>123155.83575843835</v>
      </c>
      <c r="Y65" s="184">
        <f t="shared" si="3"/>
        <v>61577.917879219174</v>
      </c>
    </row>
    <row r="66" spans="2:25" ht="15" customHeight="1">
      <c r="B66" s="115">
        <f t="shared" si="17"/>
        <v>1974</v>
      </c>
      <c r="C66" s="116">
        <f t="shared" si="19"/>
        <v>26</v>
      </c>
      <c r="D66" s="51">
        <f t="shared" si="22"/>
        <v>13200</v>
      </c>
      <c r="E66" s="51">
        <f t="shared" si="23"/>
        <v>87000</v>
      </c>
      <c r="F66" s="52">
        <f t="shared" si="29"/>
        <v>6692.400000000001</v>
      </c>
      <c r="G66" s="52">
        <f t="shared" si="24"/>
        <v>829.8</v>
      </c>
      <c r="H66" s="52">
        <f t="shared" si="25"/>
        <v>1048.2</v>
      </c>
      <c r="I66" s="117">
        <f t="shared" si="26"/>
        <v>8370.721880967412</v>
      </c>
      <c r="J66" s="117">
        <f t="shared" si="27"/>
        <v>1017.586729788916</v>
      </c>
      <c r="K66" s="117">
        <f t="shared" si="28"/>
        <v>1241.9054371261388</v>
      </c>
      <c r="L66" s="52">
        <f t="shared" si="14"/>
        <v>10630.214047882468</v>
      </c>
      <c r="M66" s="52">
        <f t="shared" si="15"/>
        <v>2059.814047882466</v>
      </c>
      <c r="N66" s="132">
        <f t="shared" si="20"/>
        <v>0.05</v>
      </c>
      <c r="O66" s="132">
        <v>0.0875</v>
      </c>
      <c r="P66" s="133">
        <v>0.0115</v>
      </c>
      <c r="Q66" s="138">
        <v>0.018</v>
      </c>
      <c r="R66" s="134">
        <f t="shared" si="16"/>
        <v>0.11699999999999999</v>
      </c>
      <c r="S66" s="137">
        <v>13200</v>
      </c>
      <c r="T66" s="136">
        <v>10484.621285395995</v>
      </c>
      <c r="U66" s="189">
        <f t="shared" si="21"/>
        <v>1</v>
      </c>
      <c r="V66" s="144">
        <f t="shared" si="0"/>
        <v>60</v>
      </c>
      <c r="W66" s="184">
        <f t="shared" si="1"/>
        <v>124993.81569305064</v>
      </c>
      <c r="X66" s="184">
        <f t="shared" si="2"/>
        <v>124993.81569305064</v>
      </c>
      <c r="Y66" s="184">
        <f t="shared" si="3"/>
        <v>62496.90784652532</v>
      </c>
    </row>
    <row r="67" spans="2:25" ht="15" customHeight="1">
      <c r="B67" s="115">
        <f t="shared" si="17"/>
        <v>1975</v>
      </c>
      <c r="C67" s="116">
        <f t="shared" si="19"/>
        <v>27</v>
      </c>
      <c r="D67" s="51">
        <f t="shared" si="22"/>
        <v>14100</v>
      </c>
      <c r="E67" s="51">
        <f t="shared" si="23"/>
        <v>101100</v>
      </c>
      <c r="F67" s="52">
        <f t="shared" si="29"/>
        <v>7926.150000000001</v>
      </c>
      <c r="G67" s="52">
        <f t="shared" si="24"/>
        <v>991.9499999999999</v>
      </c>
      <c r="H67" s="52">
        <f t="shared" si="25"/>
        <v>1302</v>
      </c>
      <c r="I67" s="117">
        <f t="shared" si="26"/>
        <v>10053.851725015782</v>
      </c>
      <c r="J67" s="117">
        <f t="shared" si="27"/>
        <v>1234.6698162783618</v>
      </c>
      <c r="K67" s="117">
        <f t="shared" si="28"/>
        <v>1564.1457089824457</v>
      </c>
      <c r="L67" s="52">
        <f t="shared" si="14"/>
        <v>12852.667250276589</v>
      </c>
      <c r="M67" s="52">
        <f t="shared" si="15"/>
        <v>2632.5672502765883</v>
      </c>
      <c r="N67" s="132">
        <f t="shared" si="20"/>
        <v>0.05</v>
      </c>
      <c r="O67" s="132">
        <v>0.0875</v>
      </c>
      <c r="P67" s="133">
        <v>0.0115</v>
      </c>
      <c r="Q67" s="138">
        <v>0.018</v>
      </c>
      <c r="R67" s="134">
        <f t="shared" si="16"/>
        <v>0.11699999999999999</v>
      </c>
      <c r="S67" s="137">
        <v>14100</v>
      </c>
      <c r="T67" s="136">
        <v>10838.312987712257</v>
      </c>
      <c r="U67" s="189">
        <f t="shared" si="21"/>
        <v>1</v>
      </c>
      <c r="V67" s="144">
        <f t="shared" si="0"/>
        <v>61</v>
      </c>
      <c r="W67" s="184">
        <f t="shared" si="1"/>
        <v>126824.16915490519</v>
      </c>
      <c r="X67" s="184">
        <f t="shared" si="2"/>
        <v>126824.16915490519</v>
      </c>
      <c r="Y67" s="184">
        <f t="shared" si="3"/>
        <v>63412.084577452595</v>
      </c>
    </row>
    <row r="68" spans="2:25" ht="15" customHeight="1">
      <c r="B68" s="115">
        <f t="shared" si="17"/>
        <v>1976</v>
      </c>
      <c r="C68" s="116">
        <f t="shared" si="19"/>
        <v>28</v>
      </c>
      <c r="D68" s="51">
        <f t="shared" si="22"/>
        <v>15300</v>
      </c>
      <c r="E68" s="51">
        <f t="shared" si="23"/>
        <v>116400</v>
      </c>
      <c r="F68" s="52">
        <f t="shared" si="29"/>
        <v>9264.900000000001</v>
      </c>
      <c r="G68" s="52">
        <f t="shared" si="24"/>
        <v>1167.8999999999999</v>
      </c>
      <c r="H68" s="52">
        <f t="shared" si="25"/>
        <v>1577.4</v>
      </c>
      <c r="I68" s="117">
        <f t="shared" si="26"/>
        <v>11928.76306126657</v>
      </c>
      <c r="J68" s="117">
        <f t="shared" si="27"/>
        <v>1476.75205709228</v>
      </c>
      <c r="K68" s="117">
        <f t="shared" si="28"/>
        <v>1924.6379944315681</v>
      </c>
      <c r="L68" s="52">
        <f t="shared" si="14"/>
        <v>15330.15311279042</v>
      </c>
      <c r="M68" s="52">
        <f t="shared" si="15"/>
        <v>3319.9531127904193</v>
      </c>
      <c r="N68" s="132">
        <f t="shared" si="20"/>
        <v>0.05</v>
      </c>
      <c r="O68" s="132">
        <v>0.0875</v>
      </c>
      <c r="P68" s="133">
        <v>0.0115</v>
      </c>
      <c r="Q68" s="138">
        <v>0.018</v>
      </c>
      <c r="R68" s="134">
        <f t="shared" si="16"/>
        <v>0.11699999999999999</v>
      </c>
      <c r="S68" s="137">
        <v>15300</v>
      </c>
      <c r="T68" s="136">
        <v>11738.415374843926</v>
      </c>
      <c r="U68" s="189">
        <f t="shared" si="21"/>
        <v>1</v>
      </c>
      <c r="V68" s="144">
        <f t="shared" si="0"/>
        <v>62</v>
      </c>
      <c r="W68" s="184">
        <f t="shared" si="1"/>
        <v>128646.9277891172</v>
      </c>
      <c r="X68" s="184">
        <f t="shared" si="2"/>
        <v>128646.9277891172</v>
      </c>
      <c r="Y68" s="184">
        <f t="shared" si="3"/>
        <v>64323.4638945586</v>
      </c>
    </row>
    <row r="69" spans="2:25" ht="15" customHeight="1">
      <c r="B69" s="115">
        <f t="shared" si="17"/>
        <v>1977</v>
      </c>
      <c r="C69" s="116">
        <f t="shared" si="19"/>
        <v>29</v>
      </c>
      <c r="D69" s="51">
        <f t="shared" si="22"/>
        <v>16500</v>
      </c>
      <c r="E69" s="51">
        <f t="shared" si="23"/>
        <v>132900</v>
      </c>
      <c r="F69" s="52">
        <f t="shared" si="29"/>
        <v>10708.650000000001</v>
      </c>
      <c r="G69" s="52">
        <f t="shared" si="24"/>
        <v>1357.6499999999999</v>
      </c>
      <c r="H69" s="52">
        <f t="shared" si="25"/>
        <v>1874.4</v>
      </c>
      <c r="I69" s="117">
        <f t="shared" si="26"/>
        <v>14005.0449643299</v>
      </c>
      <c r="J69" s="117">
        <f t="shared" si="27"/>
        <v>1745.0834099468939</v>
      </c>
      <c r="K69" s="117">
        <f t="shared" si="28"/>
        <v>2325.2948941531467</v>
      </c>
      <c r="L69" s="52">
        <f t="shared" si="14"/>
        <v>18075.423268429942</v>
      </c>
      <c r="M69" s="52">
        <f t="shared" si="15"/>
        <v>4134.7232684299415</v>
      </c>
      <c r="N69" s="132">
        <f t="shared" si="20"/>
        <v>0.05</v>
      </c>
      <c r="O69" s="132">
        <v>0.0875</v>
      </c>
      <c r="P69" s="133">
        <v>0.0115</v>
      </c>
      <c r="Q69" s="138">
        <v>0.018</v>
      </c>
      <c r="R69" s="134">
        <f t="shared" si="16"/>
        <v>0.11699999999999999</v>
      </c>
      <c r="S69" s="137">
        <v>16500</v>
      </c>
      <c r="T69" s="136">
        <v>12625.6194925438</v>
      </c>
      <c r="U69" s="189">
        <f t="shared" si="21"/>
        <v>1</v>
      </c>
      <c r="V69" s="144">
        <f t="shared" si="0"/>
        <v>63</v>
      </c>
      <c r="W69" s="184">
        <f t="shared" si="1"/>
        <v>130462.1231094943</v>
      </c>
      <c r="X69" s="184">
        <f t="shared" si="2"/>
        <v>130462.1231094943</v>
      </c>
      <c r="Y69" s="184">
        <f t="shared" si="3"/>
        <v>65231.06155474715</v>
      </c>
    </row>
    <row r="70" spans="2:25" s="22" customFormat="1" ht="15" customHeight="1">
      <c r="B70" s="115">
        <f t="shared" si="17"/>
        <v>1978</v>
      </c>
      <c r="C70" s="116">
        <f t="shared" si="19"/>
        <v>30</v>
      </c>
      <c r="D70" s="51">
        <f t="shared" si="22"/>
        <v>17700</v>
      </c>
      <c r="E70" s="51">
        <f t="shared" si="23"/>
        <v>150600</v>
      </c>
      <c r="F70" s="52">
        <f t="shared" si="29"/>
        <v>12222.000000000002</v>
      </c>
      <c r="G70" s="52">
        <f t="shared" si="24"/>
        <v>1632</v>
      </c>
      <c r="H70" s="52">
        <f t="shared" si="25"/>
        <v>2228.4</v>
      </c>
      <c r="I70" s="117">
        <f t="shared" si="26"/>
        <v>16256.480962546395</v>
      </c>
      <c r="J70" s="117">
        <f t="shared" si="27"/>
        <v>2113.5463304442387</v>
      </c>
      <c r="K70" s="117">
        <f t="shared" si="28"/>
        <v>2804.409638860804</v>
      </c>
      <c r="L70" s="52">
        <f t="shared" si="14"/>
        <v>21174.43693185144</v>
      </c>
      <c r="M70" s="52">
        <f t="shared" si="15"/>
        <v>5092.036931851439</v>
      </c>
      <c r="N70" s="132">
        <f t="shared" si="20"/>
        <v>0.05</v>
      </c>
      <c r="O70" s="132">
        <v>0.0855</v>
      </c>
      <c r="P70" s="133">
        <v>0.0155</v>
      </c>
      <c r="Q70" s="138">
        <v>0.02</v>
      </c>
      <c r="R70" s="134">
        <f t="shared" si="16"/>
        <v>0.12100000000000001</v>
      </c>
      <c r="S70" s="137">
        <v>17700</v>
      </c>
      <c r="T70" s="136">
        <v>13838.165780499685</v>
      </c>
      <c r="U70" s="189">
        <f t="shared" si="21"/>
        <v>1</v>
      </c>
      <c r="V70" s="144">
        <f t="shared" si="0"/>
        <v>64</v>
      </c>
      <c r="W70" s="184">
        <f t="shared" si="1"/>
        <v>132269.78649908147</v>
      </c>
      <c r="X70" s="184">
        <f t="shared" si="2"/>
        <v>132269.78649908147</v>
      </c>
      <c r="Y70" s="184">
        <f t="shared" si="3"/>
        <v>66134.89324954074</v>
      </c>
    </row>
    <row r="71" spans="2:25" ht="15" customHeight="1">
      <c r="B71" s="115">
        <f t="shared" si="17"/>
        <v>1979</v>
      </c>
      <c r="C71" s="116">
        <f t="shared" si="19"/>
        <v>31</v>
      </c>
      <c r="D71" s="51">
        <f t="shared" si="22"/>
        <v>22900</v>
      </c>
      <c r="E71" s="51">
        <f t="shared" si="23"/>
        <v>173500</v>
      </c>
      <c r="F71" s="52">
        <f t="shared" si="29"/>
        <v>14205.140000000001</v>
      </c>
      <c r="G71" s="52">
        <f t="shared" si="24"/>
        <v>1975.5</v>
      </c>
      <c r="H71" s="52">
        <f t="shared" si="25"/>
        <v>2709.3</v>
      </c>
      <c r="I71" s="117">
        <f t="shared" si="26"/>
        <v>19102.023510673716</v>
      </c>
      <c r="J71" s="117">
        <f t="shared" si="27"/>
        <v>2571.3111469664505</v>
      </c>
      <c r="K71" s="117">
        <f t="shared" si="28"/>
        <v>3437.5526208038445</v>
      </c>
      <c r="L71" s="52">
        <f t="shared" si="14"/>
        <v>25110.88727844401</v>
      </c>
      <c r="M71" s="52">
        <f t="shared" si="15"/>
        <v>6220.947278444008</v>
      </c>
      <c r="N71" s="132">
        <f t="shared" si="20"/>
        <v>0.05</v>
      </c>
      <c r="O71" s="132">
        <v>0.0866</v>
      </c>
      <c r="P71" s="133">
        <v>0.015</v>
      </c>
      <c r="Q71" s="138">
        <v>0.021</v>
      </c>
      <c r="R71" s="134">
        <f t="shared" si="16"/>
        <v>0.1226</v>
      </c>
      <c r="S71" s="137">
        <v>22900</v>
      </c>
      <c r="T71" s="136">
        <v>15148.56157821527</v>
      </c>
      <c r="U71" s="189">
        <f t="shared" si="21"/>
        <v>1</v>
      </c>
      <c r="V71" s="144">
        <f t="shared" si="0"/>
        <v>65</v>
      </c>
      <c r="W71" s="184">
        <f t="shared" si="1"/>
        <v>134069.94921070355</v>
      </c>
      <c r="X71" s="184">
        <f t="shared" si="2"/>
        <v>134069.94921070355</v>
      </c>
      <c r="Y71" s="184">
        <f t="shared" si="3"/>
        <v>67034.97460535177</v>
      </c>
    </row>
    <row r="72" spans="2:254" s="108" customFormat="1" ht="15" customHeight="1">
      <c r="B72" s="115">
        <f t="shared" si="17"/>
        <v>1980</v>
      </c>
      <c r="C72" s="116">
        <f t="shared" si="19"/>
        <v>32</v>
      </c>
      <c r="D72" s="51">
        <f t="shared" si="22"/>
        <v>25900</v>
      </c>
      <c r="E72" s="51">
        <f t="shared" si="23"/>
        <v>199400</v>
      </c>
      <c r="F72" s="52">
        <f t="shared" si="29"/>
        <v>16546.5</v>
      </c>
      <c r="G72" s="52">
        <f t="shared" si="24"/>
        <v>2265.58</v>
      </c>
      <c r="H72" s="52">
        <f t="shared" si="25"/>
        <v>3253.2000000000003</v>
      </c>
      <c r="I72" s="117">
        <f t="shared" si="26"/>
        <v>22457.0186862074</v>
      </c>
      <c r="J72" s="117">
        <f t="shared" si="27"/>
        <v>2997.208704314773</v>
      </c>
      <c r="K72" s="117">
        <f t="shared" si="28"/>
        <v>4166.927751844037</v>
      </c>
      <c r="L72" s="52">
        <f t="shared" si="14"/>
        <v>29621.15514236621</v>
      </c>
      <c r="M72" s="52">
        <f t="shared" si="15"/>
        <v>7555.875142366207</v>
      </c>
      <c r="N72" s="132">
        <f t="shared" si="20"/>
        <v>0.05</v>
      </c>
      <c r="O72" s="132">
        <v>0.0904</v>
      </c>
      <c r="P72" s="133">
        <v>0.011200000000000002</v>
      </c>
      <c r="Q72" s="138">
        <v>0.021</v>
      </c>
      <c r="R72" s="134">
        <f t="shared" si="16"/>
        <v>0.1226</v>
      </c>
      <c r="S72" s="137">
        <v>25900</v>
      </c>
      <c r="T72" s="136">
        <v>16379.339703052718</v>
      </c>
      <c r="U72" s="189">
        <f t="shared" si="21"/>
        <v>1</v>
      </c>
      <c r="V72" s="144">
        <f t="shared" si="0"/>
        <v>66</v>
      </c>
      <c r="W72" s="184">
        <f t="shared" si="1"/>
        <v>135862.6423675056</v>
      </c>
      <c r="X72" s="184">
        <f t="shared" si="2"/>
        <v>135862.6423675056</v>
      </c>
      <c r="Y72" s="184">
        <f t="shared" si="3"/>
        <v>67931.3211837528</v>
      </c>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row>
    <row r="73" spans="2:25" ht="15" customHeight="1">
      <c r="B73" s="115">
        <f t="shared" si="17"/>
        <v>1981</v>
      </c>
      <c r="C73" s="116">
        <f t="shared" si="19"/>
        <v>33</v>
      </c>
      <c r="D73" s="51">
        <f t="shared" si="22"/>
        <v>29700</v>
      </c>
      <c r="E73" s="51">
        <f t="shared" si="23"/>
        <v>229100</v>
      </c>
      <c r="F73" s="52">
        <f t="shared" si="29"/>
        <v>19338.3</v>
      </c>
      <c r="G73" s="52">
        <f t="shared" si="24"/>
        <v>2651.68</v>
      </c>
      <c r="H73" s="52">
        <f t="shared" si="25"/>
        <v>4025.4</v>
      </c>
      <c r="I73" s="117">
        <f t="shared" si="26"/>
        <v>26441.46462051777</v>
      </c>
      <c r="J73" s="117">
        <f t="shared" si="27"/>
        <v>3542.8216395305117</v>
      </c>
      <c r="K73" s="117">
        <f t="shared" si="28"/>
        <v>5166.779139436238</v>
      </c>
      <c r="L73" s="52">
        <f t="shared" si="14"/>
        <v>35151.06539948452</v>
      </c>
      <c r="M73" s="52">
        <f t="shared" si="15"/>
        <v>9135.685399484519</v>
      </c>
      <c r="N73" s="132">
        <f t="shared" si="20"/>
        <v>0.05</v>
      </c>
      <c r="O73" s="132">
        <v>0.094</v>
      </c>
      <c r="P73" s="133">
        <v>0.013000000000000001</v>
      </c>
      <c r="Q73" s="138">
        <v>0.026</v>
      </c>
      <c r="R73" s="134">
        <f t="shared" si="16"/>
        <v>0.133</v>
      </c>
      <c r="S73" s="137">
        <v>29700</v>
      </c>
      <c r="T73" s="136">
        <v>17783.749251628273</v>
      </c>
      <c r="U73" s="189">
        <f t="shared" si="21"/>
        <v>1</v>
      </c>
      <c r="V73" s="144">
        <f aca="true" t="shared" si="30" ref="V73:V136">1+V72</f>
        <v>67</v>
      </c>
      <c r="W73" s="184">
        <f aca="true" t="shared" si="31" ref="W73:W136">IF($V73&lt;12*$Q$17,W72+$Q$16*POWER(1+$Q$15/12,-($V73-1)),0)</f>
        <v>137647.89696349108</v>
      </c>
      <c r="X73" s="184">
        <f aca="true" t="shared" si="32" ref="X73:X136">IF($V73&lt;12*$Q$18,X72+$Q$16*POWER(1+$Q$15/12,-($V73-1)),0)</f>
        <v>137647.89696349108</v>
      </c>
      <c r="Y73" s="184">
        <f aca="true" t="shared" si="33" ref="Y73:Y136">IF(AND($V73&lt;12*$Q$17,$V73&lt;12*$Q$18),Y72+($Q$16/2)*POWER(1+$Q$15/12,-($V73-1)),0)</f>
        <v>68823.94848174554</v>
      </c>
    </row>
    <row r="74" spans="2:25" ht="15" customHeight="1">
      <c r="B74" s="115">
        <f t="shared" si="17"/>
        <v>1982</v>
      </c>
      <c r="C74" s="116">
        <f t="shared" si="19"/>
        <v>34</v>
      </c>
      <c r="D74" s="51">
        <f t="shared" si="22"/>
        <v>32400</v>
      </c>
      <c r="E74" s="51">
        <f t="shared" si="23"/>
        <v>261500</v>
      </c>
      <c r="F74" s="52">
        <f t="shared" si="29"/>
        <v>22302.899999999998</v>
      </c>
      <c r="G74" s="52">
        <f t="shared" si="24"/>
        <v>3186.2799999999997</v>
      </c>
      <c r="H74" s="52">
        <f t="shared" si="25"/>
        <v>4867.8</v>
      </c>
      <c r="I74" s="117">
        <f t="shared" si="26"/>
        <v>30802.252851543657</v>
      </c>
      <c r="J74" s="117">
        <f t="shared" si="27"/>
        <v>4267.927721507037</v>
      </c>
      <c r="K74" s="117">
        <f t="shared" si="28"/>
        <v>6288.57809640805</v>
      </c>
      <c r="L74" s="52">
        <f t="shared" si="14"/>
        <v>41358.758669458744</v>
      </c>
      <c r="M74" s="52">
        <f t="shared" si="15"/>
        <v>11001.778669458748</v>
      </c>
      <c r="N74" s="132">
        <f t="shared" si="20"/>
        <v>0.05</v>
      </c>
      <c r="O74" s="132">
        <v>0.0915</v>
      </c>
      <c r="P74" s="133">
        <v>0.0165</v>
      </c>
      <c r="Q74" s="138">
        <v>0.026</v>
      </c>
      <c r="R74" s="134">
        <f t="shared" si="16"/>
        <v>0.134</v>
      </c>
      <c r="S74" s="137">
        <v>32400</v>
      </c>
      <c r="T74" s="136">
        <v>18479.091904558405</v>
      </c>
      <c r="U74" s="189">
        <f t="shared" si="21"/>
        <v>1</v>
      </c>
      <c r="V74" s="144">
        <f t="shared" si="30"/>
        <v>68</v>
      </c>
      <c r="W74" s="184">
        <f t="shared" si="31"/>
        <v>139425.7438640575</v>
      </c>
      <c r="X74" s="184">
        <f t="shared" si="32"/>
        <v>139425.7438640575</v>
      </c>
      <c r="Y74" s="184">
        <f t="shared" si="33"/>
        <v>69712.87193202875</v>
      </c>
    </row>
    <row r="75" spans="2:25" ht="15" customHeight="1">
      <c r="B75" s="115">
        <f t="shared" si="17"/>
        <v>1983</v>
      </c>
      <c r="C75" s="116">
        <f t="shared" si="19"/>
        <v>35</v>
      </c>
      <c r="D75" s="51">
        <f t="shared" si="22"/>
        <v>35700</v>
      </c>
      <c r="E75" s="51">
        <f t="shared" si="23"/>
        <v>297200</v>
      </c>
      <c r="F75" s="52">
        <f t="shared" si="29"/>
        <v>25712.249999999996</v>
      </c>
      <c r="G75" s="52">
        <f t="shared" si="24"/>
        <v>3632.5299999999997</v>
      </c>
      <c r="H75" s="52">
        <f t="shared" si="25"/>
        <v>5796</v>
      </c>
      <c r="I75" s="117">
        <f t="shared" si="26"/>
        <v>35836.94924412084</v>
      </c>
      <c r="J75" s="117">
        <f t="shared" si="27"/>
        <v>4938.730357582389</v>
      </c>
      <c r="K75" s="117">
        <f t="shared" si="28"/>
        <v>7554.412001228453</v>
      </c>
      <c r="L75" s="52">
        <f t="shared" si="14"/>
        <v>48330.09160293169</v>
      </c>
      <c r="M75" s="52">
        <f t="shared" si="15"/>
        <v>13189.311602931688</v>
      </c>
      <c r="N75" s="132">
        <f t="shared" si="20"/>
        <v>0.05</v>
      </c>
      <c r="O75" s="132">
        <v>0.0955</v>
      </c>
      <c r="P75" s="133">
        <v>0.0125</v>
      </c>
      <c r="Q75" s="138">
        <v>0.026</v>
      </c>
      <c r="R75" s="134">
        <f t="shared" si="16"/>
        <v>0.134</v>
      </c>
      <c r="S75" s="137">
        <v>35700</v>
      </c>
      <c r="T75" s="136">
        <v>19077.37488788619</v>
      </c>
      <c r="U75" s="189">
        <f t="shared" si="21"/>
        <v>1</v>
      </c>
      <c r="V75" s="144">
        <f t="shared" si="30"/>
        <v>69</v>
      </c>
      <c r="W75" s="184">
        <f t="shared" si="31"/>
        <v>141196.2138065303</v>
      </c>
      <c r="X75" s="184">
        <f t="shared" si="32"/>
        <v>141196.2138065303</v>
      </c>
      <c r="Y75" s="184">
        <f t="shared" si="33"/>
        <v>70598.10690326514</v>
      </c>
    </row>
    <row r="76" spans="2:25" ht="15" customHeight="1">
      <c r="B76" s="115">
        <f t="shared" si="17"/>
        <v>1984</v>
      </c>
      <c r="C76" s="116">
        <f t="shared" si="19"/>
        <v>36</v>
      </c>
      <c r="D76" s="51">
        <f t="shared" si="22"/>
        <v>37800</v>
      </c>
      <c r="E76" s="51">
        <f t="shared" si="23"/>
        <v>335000</v>
      </c>
      <c r="F76" s="52">
        <f t="shared" si="29"/>
        <v>29643.449999999997</v>
      </c>
      <c r="G76" s="52">
        <f t="shared" si="24"/>
        <v>4010.5299999999997</v>
      </c>
      <c r="H76" s="52">
        <f t="shared" si="25"/>
        <v>6778.8</v>
      </c>
      <c r="I76" s="117">
        <f t="shared" si="26"/>
        <v>41658.276706326884</v>
      </c>
      <c r="J76" s="117">
        <f t="shared" si="27"/>
        <v>5573.116875461508</v>
      </c>
      <c r="K76" s="117">
        <f t="shared" si="28"/>
        <v>8939.502601289876</v>
      </c>
      <c r="L76" s="52">
        <f t="shared" si="14"/>
        <v>56170.896183078265</v>
      </c>
      <c r="M76" s="52">
        <f t="shared" si="15"/>
        <v>15738.116183078266</v>
      </c>
      <c r="N76" s="132">
        <f t="shared" si="20"/>
        <v>0.05</v>
      </c>
      <c r="O76" s="132">
        <v>0.10400000000000001</v>
      </c>
      <c r="P76" s="133">
        <v>0.01</v>
      </c>
      <c r="Q76" s="138">
        <v>0.026</v>
      </c>
      <c r="R76" s="134">
        <f t="shared" si="16"/>
        <v>0.14</v>
      </c>
      <c r="S76" s="137">
        <v>37800</v>
      </c>
      <c r="T76" s="136">
        <v>20526.613385168774</v>
      </c>
      <c r="U76" s="189">
        <f t="shared" si="21"/>
        <v>1</v>
      </c>
      <c r="V76" s="144">
        <f t="shared" si="30"/>
        <v>70</v>
      </c>
      <c r="W76" s="184">
        <f t="shared" si="31"/>
        <v>142959.33740069406</v>
      </c>
      <c r="X76" s="184">
        <f t="shared" si="32"/>
        <v>142959.33740069406</v>
      </c>
      <c r="Y76" s="184">
        <f t="shared" si="33"/>
        <v>71479.66870034703</v>
      </c>
    </row>
    <row r="77" spans="2:25" ht="15" customHeight="1">
      <c r="B77" s="115">
        <f t="shared" si="17"/>
        <v>1985</v>
      </c>
      <c r="C77" s="116">
        <f t="shared" si="19"/>
        <v>37</v>
      </c>
      <c r="D77" s="51">
        <f t="shared" si="22"/>
        <v>39600</v>
      </c>
      <c r="E77" s="51">
        <f t="shared" si="23"/>
        <v>374600</v>
      </c>
      <c r="F77" s="52">
        <f t="shared" si="29"/>
        <v>33761.85</v>
      </c>
      <c r="G77" s="52">
        <f t="shared" si="24"/>
        <v>4406.53</v>
      </c>
      <c r="H77" s="52">
        <f t="shared" si="25"/>
        <v>7848</v>
      </c>
      <c r="I77" s="117">
        <f t="shared" si="26"/>
        <v>47962.55054164323</v>
      </c>
      <c r="J77" s="117">
        <f t="shared" si="27"/>
        <v>6257.672719234583</v>
      </c>
      <c r="K77" s="117">
        <f t="shared" si="28"/>
        <v>10482.40773135437</v>
      </c>
      <c r="L77" s="52">
        <f t="shared" si="14"/>
        <v>64702.63099223218</v>
      </c>
      <c r="M77" s="52">
        <f t="shared" si="15"/>
        <v>18686.250992232184</v>
      </c>
      <c r="N77" s="132">
        <f t="shared" si="20"/>
        <v>0.05</v>
      </c>
      <c r="O77" s="132">
        <v>0.10400000000000001</v>
      </c>
      <c r="P77" s="133">
        <v>0.01</v>
      </c>
      <c r="Q77" s="138">
        <v>0.027</v>
      </c>
      <c r="R77" s="134">
        <f t="shared" si="16"/>
        <v>0.14100000000000001</v>
      </c>
      <c r="S77" s="137">
        <v>39600</v>
      </c>
      <c r="T77" s="136">
        <v>21607.319556961374</v>
      </c>
      <c r="U77" s="189">
        <f t="shared" si="21"/>
        <v>1</v>
      </c>
      <c r="V77" s="144">
        <f t="shared" si="30"/>
        <v>71</v>
      </c>
      <c r="W77" s="184">
        <f t="shared" si="31"/>
        <v>144715.14512932187</v>
      </c>
      <c r="X77" s="184">
        <f t="shared" si="32"/>
        <v>144715.14512932187</v>
      </c>
      <c r="Y77" s="184">
        <f t="shared" si="33"/>
        <v>72357.57256466094</v>
      </c>
    </row>
    <row r="78" spans="2:25" ht="15" customHeight="1">
      <c r="B78" s="115">
        <f t="shared" si="17"/>
        <v>1986</v>
      </c>
      <c r="C78" s="116">
        <f t="shared" si="19"/>
        <v>38</v>
      </c>
      <c r="D78" s="51">
        <f t="shared" si="22"/>
        <v>42000</v>
      </c>
      <c r="E78" s="51">
        <f t="shared" si="23"/>
        <v>416600</v>
      </c>
      <c r="F78" s="52">
        <f t="shared" si="29"/>
        <v>38129.85</v>
      </c>
      <c r="G78" s="52">
        <f t="shared" si="24"/>
        <v>4826.53</v>
      </c>
      <c r="H78" s="52">
        <f t="shared" si="25"/>
        <v>9066</v>
      </c>
      <c r="I78" s="117">
        <f t="shared" si="26"/>
        <v>54837.87806872539</v>
      </c>
      <c r="J78" s="117">
        <f t="shared" si="27"/>
        <v>7001.056355196312</v>
      </c>
      <c r="K78" s="117">
        <f t="shared" si="28"/>
        <v>12254.978117922088</v>
      </c>
      <c r="L78" s="52">
        <f t="shared" si="14"/>
        <v>74093.91254184379</v>
      </c>
      <c r="M78" s="52">
        <f t="shared" si="15"/>
        <v>22071.532541843793</v>
      </c>
      <c r="N78" s="132">
        <f t="shared" si="20"/>
        <v>0.05</v>
      </c>
      <c r="O78" s="132">
        <v>0.10400000000000001</v>
      </c>
      <c r="P78" s="133">
        <v>0.01</v>
      </c>
      <c r="Q78" s="138">
        <v>0.029</v>
      </c>
      <c r="R78" s="134">
        <f t="shared" si="16"/>
        <v>0.14300000000000002</v>
      </c>
      <c r="S78" s="137">
        <v>42000</v>
      </c>
      <c r="T78" s="136">
        <v>22293.022366526864</v>
      </c>
      <c r="U78" s="189">
        <f t="shared" si="21"/>
        <v>1</v>
      </c>
      <c r="V78" s="144">
        <f t="shared" si="30"/>
        <v>72</v>
      </c>
      <c r="W78" s="184">
        <f t="shared" si="31"/>
        <v>146463.66734870226</v>
      </c>
      <c r="X78" s="184">
        <f t="shared" si="32"/>
        <v>146463.66734870226</v>
      </c>
      <c r="Y78" s="184">
        <f t="shared" si="33"/>
        <v>73231.83367435113</v>
      </c>
    </row>
    <row r="79" spans="2:25" ht="15" customHeight="1">
      <c r="B79" s="115">
        <f t="shared" si="17"/>
        <v>1987</v>
      </c>
      <c r="C79" s="116">
        <f t="shared" si="19"/>
        <v>39</v>
      </c>
      <c r="D79" s="51">
        <f t="shared" si="22"/>
        <v>43800</v>
      </c>
      <c r="E79" s="51">
        <f t="shared" si="23"/>
        <v>460400</v>
      </c>
      <c r="F79" s="52">
        <f t="shared" si="29"/>
        <v>42685.05</v>
      </c>
      <c r="G79" s="52">
        <f t="shared" si="24"/>
        <v>5264.53</v>
      </c>
      <c r="H79" s="52">
        <f t="shared" si="25"/>
        <v>10336.2</v>
      </c>
      <c r="I79" s="117">
        <f t="shared" si="26"/>
        <v>62248.85197216166</v>
      </c>
      <c r="J79" s="117">
        <f t="shared" si="27"/>
        <v>7800.059172956127</v>
      </c>
      <c r="K79" s="117">
        <f t="shared" si="28"/>
        <v>14169.682023818194</v>
      </c>
      <c r="L79" s="52">
        <f t="shared" si="14"/>
        <v>84218.59316893599</v>
      </c>
      <c r="M79" s="52">
        <f t="shared" si="15"/>
        <v>25932.813168935987</v>
      </c>
      <c r="N79" s="132">
        <f t="shared" si="20"/>
        <v>0.05</v>
      </c>
      <c r="O79" s="132">
        <v>0.10400000000000001</v>
      </c>
      <c r="P79" s="133">
        <v>0.01</v>
      </c>
      <c r="Q79" s="138">
        <v>0.029</v>
      </c>
      <c r="R79" s="134">
        <f t="shared" si="16"/>
        <v>0.14300000000000002</v>
      </c>
      <c r="S79" s="137">
        <v>43800</v>
      </c>
      <c r="T79" s="136">
        <v>23694.432888669016</v>
      </c>
      <c r="U79" s="189">
        <f t="shared" si="21"/>
        <v>1</v>
      </c>
      <c r="V79" s="144">
        <f t="shared" si="30"/>
        <v>73</v>
      </c>
      <c r="W79" s="184">
        <f t="shared" si="31"/>
        <v>148204.93428916408</v>
      </c>
      <c r="X79" s="184">
        <f t="shared" si="32"/>
        <v>148204.93428916408</v>
      </c>
      <c r="Y79" s="184">
        <f t="shared" si="33"/>
        <v>74102.46714458204</v>
      </c>
    </row>
    <row r="80" spans="2:25" s="22" customFormat="1" ht="15" customHeight="1">
      <c r="B80" s="115">
        <f t="shared" si="17"/>
        <v>1988</v>
      </c>
      <c r="C80" s="116">
        <f t="shared" si="19"/>
        <v>40</v>
      </c>
      <c r="D80" s="51">
        <f t="shared" si="22"/>
        <v>45000</v>
      </c>
      <c r="E80" s="51">
        <f t="shared" si="23"/>
        <v>505400</v>
      </c>
      <c r="F80" s="52">
        <f t="shared" si="29"/>
        <v>47662.05</v>
      </c>
      <c r="G80" s="52">
        <f t="shared" si="24"/>
        <v>5741.53</v>
      </c>
      <c r="H80" s="52">
        <f t="shared" si="25"/>
        <v>11641.2</v>
      </c>
      <c r="I80" s="117">
        <f t="shared" si="26"/>
        <v>70462.71957076974</v>
      </c>
      <c r="J80" s="117">
        <f t="shared" si="27"/>
        <v>8678.987131603933</v>
      </c>
      <c r="K80" s="117">
        <f t="shared" si="28"/>
        <v>16215.791125009104</v>
      </c>
      <c r="L80" s="52">
        <f t="shared" si="14"/>
        <v>95357.49782738277</v>
      </c>
      <c r="M80" s="52">
        <f t="shared" si="15"/>
        <v>30312.717827382774</v>
      </c>
      <c r="N80" s="132">
        <f t="shared" si="20"/>
        <v>0.05</v>
      </c>
      <c r="O80" s="132">
        <v>0.1106</v>
      </c>
      <c r="P80" s="133">
        <v>0.0106</v>
      </c>
      <c r="Q80" s="138">
        <v>0.029</v>
      </c>
      <c r="R80" s="134">
        <f t="shared" si="16"/>
        <v>0.1502</v>
      </c>
      <c r="S80" s="137">
        <v>45000</v>
      </c>
      <c r="T80" s="136">
        <v>25781.74499660349</v>
      </c>
      <c r="U80" s="189">
        <f t="shared" si="21"/>
        <v>1</v>
      </c>
      <c r="V80" s="144">
        <f t="shared" si="30"/>
        <v>74</v>
      </c>
      <c r="W80" s="184">
        <f t="shared" si="31"/>
        <v>149938.97605559908</v>
      </c>
      <c r="X80" s="184">
        <f t="shared" si="32"/>
        <v>149938.97605559908</v>
      </c>
      <c r="Y80" s="184">
        <f t="shared" si="33"/>
        <v>74969.48802779954</v>
      </c>
    </row>
    <row r="81" spans="2:25" ht="15" customHeight="1">
      <c r="B81" s="115">
        <f t="shared" si="17"/>
        <v>1989</v>
      </c>
      <c r="C81" s="116">
        <f t="shared" si="19"/>
        <v>41</v>
      </c>
      <c r="D81" s="51">
        <f t="shared" si="22"/>
        <v>48000</v>
      </c>
      <c r="E81" s="51">
        <f t="shared" si="23"/>
        <v>553400</v>
      </c>
      <c r="F81" s="52">
        <f t="shared" si="29"/>
        <v>52970.850000000006</v>
      </c>
      <c r="G81" s="52">
        <f t="shared" si="24"/>
        <v>6250.33</v>
      </c>
      <c r="H81" s="52">
        <f t="shared" si="25"/>
        <v>13033.2</v>
      </c>
      <c r="I81" s="117">
        <f t="shared" si="26"/>
        <v>79427.37554930823</v>
      </c>
      <c r="J81" s="117">
        <f t="shared" si="27"/>
        <v>9634.45648818413</v>
      </c>
      <c r="K81" s="117">
        <f t="shared" si="28"/>
        <v>18453.380681259558</v>
      </c>
      <c r="L81" s="52">
        <f t="shared" si="14"/>
        <v>107515.21271875192</v>
      </c>
      <c r="M81" s="52">
        <f t="shared" si="15"/>
        <v>35260.83271875192</v>
      </c>
      <c r="N81" s="132">
        <f t="shared" si="20"/>
        <v>0.05</v>
      </c>
      <c r="O81" s="132">
        <v>0.1106</v>
      </c>
      <c r="P81" s="133">
        <v>0.0106</v>
      </c>
      <c r="Q81" s="138">
        <v>0.029</v>
      </c>
      <c r="R81" s="134">
        <f t="shared" si="16"/>
        <v>0.1502</v>
      </c>
      <c r="S81" s="137">
        <v>48000</v>
      </c>
      <c r="T81" s="136">
        <v>26810.585441218307</v>
      </c>
      <c r="U81" s="189">
        <f t="shared" si="21"/>
        <v>1</v>
      </c>
      <c r="V81" s="144">
        <f t="shared" si="30"/>
        <v>75</v>
      </c>
      <c r="W81" s="184">
        <f t="shared" si="31"/>
        <v>151665.82262798247</v>
      </c>
      <c r="X81" s="184">
        <f t="shared" si="32"/>
        <v>151665.82262798247</v>
      </c>
      <c r="Y81" s="184">
        <f t="shared" si="33"/>
        <v>75832.91131399124</v>
      </c>
    </row>
    <row r="82" spans="2:254" s="108" customFormat="1" ht="15" customHeight="1">
      <c r="B82" s="115">
        <f t="shared" si="17"/>
        <v>1990</v>
      </c>
      <c r="C82" s="116">
        <f t="shared" si="19"/>
        <v>42</v>
      </c>
      <c r="D82" s="51">
        <f t="shared" si="22"/>
        <v>51300</v>
      </c>
      <c r="E82" s="51">
        <f t="shared" si="23"/>
        <v>604700</v>
      </c>
      <c r="F82" s="52">
        <f t="shared" si="29"/>
        <v>58716.450000000004</v>
      </c>
      <c r="G82" s="52">
        <f t="shared" si="24"/>
        <v>6865.93</v>
      </c>
      <c r="H82" s="52">
        <f t="shared" si="25"/>
        <v>14520.900000000001</v>
      </c>
      <c r="I82" s="117">
        <f t="shared" si="26"/>
        <v>89287.98432677364</v>
      </c>
      <c r="J82" s="117">
        <f t="shared" si="27"/>
        <v>10747.169312593338</v>
      </c>
      <c r="K82" s="117">
        <f t="shared" si="28"/>
        <v>20900.942215322535</v>
      </c>
      <c r="L82" s="52">
        <f t="shared" si="14"/>
        <v>120936.09585468951</v>
      </c>
      <c r="M82" s="52">
        <f t="shared" si="15"/>
        <v>40832.815854689514</v>
      </c>
      <c r="N82" s="132">
        <f t="shared" si="20"/>
        <v>0.05</v>
      </c>
      <c r="O82" s="132">
        <v>0.11199999999999999</v>
      </c>
      <c r="P82" s="133">
        <v>0.012</v>
      </c>
      <c r="Q82" s="138">
        <v>0.029</v>
      </c>
      <c r="R82" s="134">
        <f t="shared" si="16"/>
        <v>0.153</v>
      </c>
      <c r="S82" s="137">
        <v>51300</v>
      </c>
      <c r="T82" s="136">
        <v>27948.878437655538</v>
      </c>
      <c r="U82" s="189">
        <f t="shared" si="21"/>
        <v>1</v>
      </c>
      <c r="V82" s="144">
        <f t="shared" si="30"/>
        <v>76</v>
      </c>
      <c r="W82" s="184">
        <f t="shared" si="31"/>
        <v>153385.50386189125</v>
      </c>
      <c r="X82" s="184">
        <f t="shared" si="32"/>
        <v>153385.50386189125</v>
      </c>
      <c r="Y82" s="184">
        <f t="shared" si="33"/>
        <v>76692.75193094563</v>
      </c>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c r="IK82" s="22"/>
      <c r="IL82" s="22"/>
      <c r="IM82" s="22"/>
      <c r="IN82" s="22"/>
      <c r="IO82" s="22"/>
      <c r="IP82" s="22"/>
      <c r="IQ82" s="22"/>
      <c r="IR82" s="22"/>
      <c r="IS82" s="22"/>
      <c r="IT82" s="22"/>
    </row>
    <row r="83" spans="2:25" ht="15" customHeight="1">
      <c r="B83" s="115">
        <f t="shared" si="17"/>
        <v>1991</v>
      </c>
      <c r="C83" s="116">
        <f t="shared" si="19"/>
        <v>43</v>
      </c>
      <c r="D83" s="51">
        <f t="shared" si="22"/>
        <v>53400</v>
      </c>
      <c r="E83" s="51">
        <f t="shared" si="23"/>
        <v>658100</v>
      </c>
      <c r="F83" s="52">
        <f t="shared" si="29"/>
        <v>64697.25</v>
      </c>
      <c r="G83" s="52">
        <f t="shared" si="24"/>
        <v>7506.7300000000005</v>
      </c>
      <c r="H83" s="118">
        <f>$U83*(IF(($S83&gt;$D83),$Q83*$D83,IF(125000&gt;$D83,$Q83*$D83,125000*$Q83))+H82)</f>
        <v>16069.500000000002</v>
      </c>
      <c r="I83" s="117">
        <f t="shared" si="26"/>
        <v>99882.70354311232</v>
      </c>
      <c r="J83" s="117">
        <f t="shared" si="27"/>
        <v>11941.347778223006</v>
      </c>
      <c r="K83" s="117">
        <f t="shared" si="28"/>
        <v>23533.304326088662</v>
      </c>
      <c r="L83" s="52">
        <f t="shared" si="14"/>
        <v>135357.355647424</v>
      </c>
      <c r="M83" s="52">
        <f t="shared" si="15"/>
        <v>47083.87564742401</v>
      </c>
      <c r="N83" s="132">
        <f t="shared" si="20"/>
        <v>0.05</v>
      </c>
      <c r="O83" s="132">
        <v>0.11199999999999999</v>
      </c>
      <c r="P83" s="133">
        <v>0.012</v>
      </c>
      <c r="Q83" s="138">
        <v>0.029</v>
      </c>
      <c r="R83" s="134">
        <f t="shared" si="16"/>
        <v>0.153</v>
      </c>
      <c r="S83" s="137">
        <v>53400</v>
      </c>
      <c r="T83" s="136">
        <v>28122.679205126307</v>
      </c>
      <c r="U83" s="189">
        <f t="shared" si="21"/>
        <v>1</v>
      </c>
      <c r="V83" s="144">
        <f t="shared" si="30"/>
        <v>77</v>
      </c>
      <c r="W83" s="184">
        <f t="shared" si="31"/>
        <v>155098.04948902034</v>
      </c>
      <c r="X83" s="184">
        <f t="shared" si="32"/>
        <v>155098.04948902034</v>
      </c>
      <c r="Y83" s="184">
        <f t="shared" si="33"/>
        <v>77549.02474451017</v>
      </c>
    </row>
    <row r="84" spans="2:25" ht="15" customHeight="1">
      <c r="B84" s="115">
        <f t="shared" si="17"/>
        <v>1992</v>
      </c>
      <c r="C84" s="116">
        <f t="shared" si="19"/>
        <v>44</v>
      </c>
      <c r="D84" s="51">
        <f t="shared" si="22"/>
        <v>55500</v>
      </c>
      <c r="E84" s="51">
        <f t="shared" si="23"/>
        <v>713600</v>
      </c>
      <c r="F84" s="52">
        <f t="shared" si="29"/>
        <v>70913.25</v>
      </c>
      <c r="G84" s="52">
        <f t="shared" si="24"/>
        <v>8172.7300000000005</v>
      </c>
      <c r="H84" s="118">
        <f>$U84*(IF($S84&gt;$D84,$Q84*$D84,IF(130000&gt;$D84,$Q84*$D84,130000*$Q84))+H83)</f>
        <v>17679</v>
      </c>
      <c r="I84" s="117">
        <f t="shared" si="26"/>
        <v>111248.23872026794</v>
      </c>
      <c r="J84" s="117">
        <f t="shared" si="27"/>
        <v>13221.065167134157</v>
      </c>
      <c r="K84" s="117">
        <f t="shared" si="28"/>
        <v>26359.707042393096</v>
      </c>
      <c r="L84" s="52">
        <f t="shared" si="14"/>
        <v>150829.0109297952</v>
      </c>
      <c r="M84" s="52">
        <f t="shared" si="15"/>
        <v>54064.03092979519</v>
      </c>
      <c r="N84" s="132">
        <f t="shared" si="20"/>
        <v>0.05</v>
      </c>
      <c r="O84" s="132">
        <v>0.11199999999999999</v>
      </c>
      <c r="P84" s="133">
        <v>0.012</v>
      </c>
      <c r="Q84" s="138">
        <v>0.029</v>
      </c>
      <c r="R84" s="134">
        <f t="shared" si="16"/>
        <v>0.153</v>
      </c>
      <c r="S84" s="137">
        <v>55500</v>
      </c>
      <c r="T84" s="136">
        <v>29077.16372214623</v>
      </c>
      <c r="U84" s="189">
        <f t="shared" si="21"/>
        <v>1</v>
      </c>
      <c r="V84" s="144">
        <f t="shared" si="30"/>
        <v>78</v>
      </c>
      <c r="W84" s="184">
        <f t="shared" si="31"/>
        <v>156803.4891176966</v>
      </c>
      <c r="X84" s="184">
        <f t="shared" si="32"/>
        <v>156803.4891176966</v>
      </c>
      <c r="Y84" s="184">
        <f t="shared" si="33"/>
        <v>78401.7445588483</v>
      </c>
    </row>
    <row r="85" spans="2:25" ht="15" customHeight="1">
      <c r="B85" s="115">
        <f t="shared" si="17"/>
        <v>1993</v>
      </c>
      <c r="C85" s="116">
        <f t="shared" si="19"/>
        <v>45</v>
      </c>
      <c r="D85" s="51">
        <f t="shared" si="22"/>
        <v>57600</v>
      </c>
      <c r="E85" s="51">
        <f t="shared" si="23"/>
        <v>771200</v>
      </c>
      <c r="F85" s="52">
        <f t="shared" si="29"/>
        <v>77364.45</v>
      </c>
      <c r="G85" s="52">
        <f t="shared" si="24"/>
        <v>8863.93</v>
      </c>
      <c r="H85" s="118">
        <f>$U85*(IF($S85&gt;$D85,$Q85*$D85,IF(135000&gt;$D85,$Q85*$D85,135000*$Q85))+H84)</f>
        <v>19349.4</v>
      </c>
      <c r="I85" s="117">
        <f t="shared" si="26"/>
        <v>123423.13065628134</v>
      </c>
      <c r="J85" s="117">
        <f t="shared" si="27"/>
        <v>14590.598425490865</v>
      </c>
      <c r="K85" s="117">
        <f t="shared" si="28"/>
        <v>29389.852394512753</v>
      </c>
      <c r="L85" s="52">
        <f t="shared" si="14"/>
        <v>167403.58147628495</v>
      </c>
      <c r="M85" s="52">
        <f t="shared" si="15"/>
        <v>61825.80147628495</v>
      </c>
      <c r="N85" s="132">
        <f t="shared" si="20"/>
        <v>0.05</v>
      </c>
      <c r="O85" s="132">
        <v>0.11199999999999999</v>
      </c>
      <c r="P85" s="133">
        <v>0.012</v>
      </c>
      <c r="Q85" s="138">
        <v>0.029</v>
      </c>
      <c r="R85" s="134">
        <f t="shared" si="16"/>
        <v>0.153</v>
      </c>
      <c r="S85" s="137">
        <v>57600</v>
      </c>
      <c r="T85" s="136">
        <v>29356.991292489514</v>
      </c>
      <c r="U85" s="189">
        <f t="shared" si="21"/>
        <v>1</v>
      </c>
      <c r="V85" s="144">
        <f t="shared" si="30"/>
        <v>79</v>
      </c>
      <c r="W85" s="184">
        <f t="shared" si="31"/>
        <v>158501.8522333908</v>
      </c>
      <c r="X85" s="184">
        <f t="shared" si="32"/>
        <v>158501.8522333908</v>
      </c>
      <c r="Y85" s="184">
        <f t="shared" si="33"/>
        <v>79250.9261166954</v>
      </c>
    </row>
    <row r="86" spans="2:25" ht="15" customHeight="1">
      <c r="B86" s="115">
        <f t="shared" si="17"/>
        <v>1994</v>
      </c>
      <c r="C86" s="116">
        <f t="shared" si="19"/>
        <v>46</v>
      </c>
      <c r="D86" s="51">
        <f t="shared" si="22"/>
        <v>60600</v>
      </c>
      <c r="E86" s="51">
        <f t="shared" si="23"/>
        <v>831800</v>
      </c>
      <c r="F86" s="52">
        <f t="shared" si="29"/>
        <v>83739.56999999999</v>
      </c>
      <c r="G86" s="52">
        <f t="shared" si="24"/>
        <v>10003.21</v>
      </c>
      <c r="H86" s="118">
        <f aca="true" t="shared" si="34" ref="H86:H117">$U86*(($Q86*$D86)+H85)</f>
        <v>21106.800000000003</v>
      </c>
      <c r="I86" s="117">
        <f t="shared" si="26"/>
        <v>136128.78518909542</v>
      </c>
      <c r="J86" s="117">
        <f t="shared" si="27"/>
        <v>16487.89034676541</v>
      </c>
      <c r="K86" s="117">
        <f t="shared" si="28"/>
        <v>32660.68001423839</v>
      </c>
      <c r="L86" s="52">
        <f t="shared" si="14"/>
        <v>185277.35555009922</v>
      </c>
      <c r="M86" s="52">
        <f t="shared" si="15"/>
        <v>70427.77555009922</v>
      </c>
      <c r="N86" s="132">
        <f t="shared" si="20"/>
        <v>0.05</v>
      </c>
      <c r="O86" s="132">
        <v>0.1052</v>
      </c>
      <c r="P86" s="133">
        <v>0.018799999999999997</v>
      </c>
      <c r="Q86" s="138">
        <v>0.029</v>
      </c>
      <c r="R86" s="134">
        <f t="shared" si="16"/>
        <v>0.153</v>
      </c>
      <c r="S86" s="137">
        <v>60600</v>
      </c>
      <c r="T86" s="136">
        <v>30511.935336398987</v>
      </c>
      <c r="U86" s="189">
        <f t="shared" si="21"/>
        <v>1</v>
      </c>
      <c r="V86" s="144">
        <f t="shared" si="30"/>
        <v>80</v>
      </c>
      <c r="W86" s="184">
        <f t="shared" si="31"/>
        <v>160193.16819922734</v>
      </c>
      <c r="X86" s="184">
        <f t="shared" si="32"/>
        <v>160193.16819922734</v>
      </c>
      <c r="Y86" s="184">
        <f t="shared" si="33"/>
        <v>80096.58409961367</v>
      </c>
    </row>
    <row r="87" spans="2:25" ht="15" customHeight="1">
      <c r="B87" s="115">
        <f t="shared" si="17"/>
        <v>1995</v>
      </c>
      <c r="C87" s="116">
        <f t="shared" si="19"/>
        <v>47</v>
      </c>
      <c r="D87" s="51">
        <f t="shared" si="22"/>
        <v>61200</v>
      </c>
      <c r="E87" s="51">
        <f t="shared" si="23"/>
        <v>893000</v>
      </c>
      <c r="F87" s="52">
        <f t="shared" si="29"/>
        <v>90287.96999999999</v>
      </c>
      <c r="G87" s="52">
        <f t="shared" si="24"/>
        <v>11043.609999999999</v>
      </c>
      <c r="H87" s="118">
        <f t="shared" si="34"/>
        <v>22881.600000000002</v>
      </c>
      <c r="I87" s="117">
        <f t="shared" si="26"/>
        <v>149647.3344485502</v>
      </c>
      <c r="J87" s="117">
        <f t="shared" si="27"/>
        <v>18378.69486410368</v>
      </c>
      <c r="K87" s="117">
        <f t="shared" si="28"/>
        <v>36112.88401495031</v>
      </c>
      <c r="L87" s="52">
        <f t="shared" si="14"/>
        <v>204138.91332760418</v>
      </c>
      <c r="M87" s="52">
        <f t="shared" si="15"/>
        <v>79925.73332760419</v>
      </c>
      <c r="N87" s="132">
        <f t="shared" si="20"/>
        <v>0.05</v>
      </c>
      <c r="O87" s="132">
        <v>0.107</v>
      </c>
      <c r="P87" s="133">
        <v>0.017</v>
      </c>
      <c r="Q87" s="138">
        <v>0.029</v>
      </c>
      <c r="R87" s="134">
        <f t="shared" si="16"/>
        <v>0.153</v>
      </c>
      <c r="S87" s="137">
        <v>61200</v>
      </c>
      <c r="T87" s="136">
        <v>32143.55760427562</v>
      </c>
      <c r="U87" s="189">
        <f t="shared" si="21"/>
        <v>1</v>
      </c>
      <c r="V87" s="144">
        <f t="shared" si="30"/>
        <v>81</v>
      </c>
      <c r="W87" s="184">
        <f t="shared" si="31"/>
        <v>161877.46625649196</v>
      </c>
      <c r="X87" s="184">
        <f t="shared" si="32"/>
        <v>161877.46625649196</v>
      </c>
      <c r="Y87" s="184">
        <f t="shared" si="33"/>
        <v>80938.73312824598</v>
      </c>
    </row>
    <row r="88" spans="2:25" ht="15" customHeight="1">
      <c r="B88" s="115">
        <f t="shared" si="17"/>
        <v>1996</v>
      </c>
      <c r="C88" s="116">
        <f t="shared" si="19"/>
        <v>48</v>
      </c>
      <c r="D88" s="51">
        <f t="shared" si="22"/>
        <v>62700</v>
      </c>
      <c r="E88" s="51">
        <f t="shared" si="23"/>
        <v>955700</v>
      </c>
      <c r="F88" s="52">
        <f t="shared" si="29"/>
        <v>96934.16999999998</v>
      </c>
      <c r="G88" s="52">
        <f t="shared" si="24"/>
        <v>12172.21</v>
      </c>
      <c r="H88" s="118">
        <f t="shared" si="34"/>
        <v>24699.9</v>
      </c>
      <c r="I88" s="117">
        <f t="shared" si="26"/>
        <v>163942.0561709777</v>
      </c>
      <c r="J88" s="117">
        <f t="shared" si="27"/>
        <v>20454.444607308862</v>
      </c>
      <c r="K88" s="117">
        <f t="shared" si="28"/>
        <v>39782.28571569783</v>
      </c>
      <c r="L88" s="52">
        <f t="shared" si="14"/>
        <v>224178.7864939844</v>
      </c>
      <c r="M88" s="52">
        <f t="shared" si="15"/>
        <v>90372.50649398443</v>
      </c>
      <c r="N88" s="132">
        <f t="shared" si="20"/>
        <v>0.05</v>
      </c>
      <c r="O88" s="132">
        <v>0.106</v>
      </c>
      <c r="P88" s="133">
        <v>0.018000000000000002</v>
      </c>
      <c r="Q88" s="138">
        <v>0.029</v>
      </c>
      <c r="R88" s="134">
        <f t="shared" si="16"/>
        <v>0.153</v>
      </c>
      <c r="S88" s="137">
        <v>62700</v>
      </c>
      <c r="T88" s="136">
        <v>33764.75087506698</v>
      </c>
      <c r="U88" s="189">
        <f t="shared" si="21"/>
        <v>1</v>
      </c>
      <c r="V88" s="144">
        <f t="shared" si="30"/>
        <v>82</v>
      </c>
      <c r="W88" s="184">
        <f t="shared" si="31"/>
        <v>163554.77552513723</v>
      </c>
      <c r="X88" s="184">
        <f t="shared" si="32"/>
        <v>163554.77552513723</v>
      </c>
      <c r="Y88" s="184">
        <f t="shared" si="33"/>
        <v>81777.38776256861</v>
      </c>
    </row>
    <row r="89" spans="2:25" ht="15" customHeight="1">
      <c r="B89" s="115">
        <f t="shared" si="17"/>
        <v>1997</v>
      </c>
      <c r="C89" s="116">
        <f t="shared" si="19"/>
        <v>49</v>
      </c>
      <c r="D89" s="51">
        <f t="shared" si="22"/>
        <v>65400</v>
      </c>
      <c r="E89" s="51">
        <f t="shared" si="23"/>
        <v>1021100</v>
      </c>
      <c r="F89" s="52">
        <f t="shared" si="29"/>
        <v>103866.56999999998</v>
      </c>
      <c r="G89" s="52">
        <f t="shared" si="24"/>
        <v>13349.41</v>
      </c>
      <c r="H89" s="118">
        <f t="shared" si="34"/>
        <v>26596.5</v>
      </c>
      <c r="I89" s="117">
        <f t="shared" si="26"/>
        <v>179244.8689795266</v>
      </c>
      <c r="J89" s="117">
        <f t="shared" si="27"/>
        <v>22683.796837674305</v>
      </c>
      <c r="K89" s="117">
        <f t="shared" si="28"/>
        <v>43715.41500148272</v>
      </c>
      <c r="L89" s="52">
        <f t="shared" si="14"/>
        <v>245644.0808186836</v>
      </c>
      <c r="M89" s="52">
        <f t="shared" si="15"/>
        <v>101831.60081868363</v>
      </c>
      <c r="N89" s="132">
        <f t="shared" si="20"/>
        <v>0.05</v>
      </c>
      <c r="O89" s="132">
        <v>0.106</v>
      </c>
      <c r="P89" s="133">
        <v>0.018000000000000002</v>
      </c>
      <c r="Q89" s="138">
        <v>0.029</v>
      </c>
      <c r="R89" s="134">
        <f t="shared" si="16"/>
        <v>0.153</v>
      </c>
      <c r="S89" s="137">
        <v>65400</v>
      </c>
      <c r="T89" s="136">
        <v>35859.95106499226</v>
      </c>
      <c r="U89" s="189">
        <f t="shared" si="21"/>
        <v>1</v>
      </c>
      <c r="V89" s="144">
        <f t="shared" si="30"/>
        <v>83</v>
      </c>
      <c r="W89" s="184">
        <f t="shared" si="31"/>
        <v>165225.12500428603</v>
      </c>
      <c r="X89" s="184">
        <f t="shared" si="32"/>
        <v>165225.12500428603</v>
      </c>
      <c r="Y89" s="184">
        <f t="shared" si="33"/>
        <v>82612.56250214302</v>
      </c>
    </row>
    <row r="90" spans="2:25" ht="15" customHeight="1">
      <c r="B90" s="115">
        <f t="shared" si="17"/>
        <v>1998</v>
      </c>
      <c r="C90" s="116">
        <f t="shared" si="19"/>
        <v>50</v>
      </c>
      <c r="D90" s="51">
        <f t="shared" si="22"/>
        <v>68400</v>
      </c>
      <c r="E90" s="51">
        <f t="shared" si="23"/>
        <v>1089500</v>
      </c>
      <c r="F90" s="52">
        <f t="shared" si="29"/>
        <v>111116.96999999997</v>
      </c>
      <c r="G90" s="52">
        <f t="shared" si="24"/>
        <v>14580.61</v>
      </c>
      <c r="H90" s="118">
        <f t="shared" si="34"/>
        <v>28580.1</v>
      </c>
      <c r="I90" s="117">
        <f t="shared" si="26"/>
        <v>195638.7724285029</v>
      </c>
      <c r="J90" s="117">
        <f t="shared" si="27"/>
        <v>25079.96667955802</v>
      </c>
      <c r="K90" s="117">
        <f t="shared" si="28"/>
        <v>47934.37575155685</v>
      </c>
      <c r="L90" s="52">
        <f t="shared" si="14"/>
        <v>268653.1148596178</v>
      </c>
      <c r="M90" s="52">
        <f t="shared" si="15"/>
        <v>114375.43485961782</v>
      </c>
      <c r="N90" s="132">
        <f t="shared" si="20"/>
        <v>0.05</v>
      </c>
      <c r="O90" s="132">
        <v>0.106</v>
      </c>
      <c r="P90" s="133">
        <v>0.018000000000000002</v>
      </c>
      <c r="Q90" s="138">
        <v>0.029</v>
      </c>
      <c r="R90" s="134">
        <f t="shared" si="16"/>
        <v>0.153</v>
      </c>
      <c r="S90" s="137">
        <v>68400</v>
      </c>
      <c r="T90" s="136">
        <v>38128.568044023785</v>
      </c>
      <c r="U90" s="189">
        <f t="shared" si="21"/>
        <v>1</v>
      </c>
      <c r="V90" s="144">
        <f t="shared" si="30"/>
        <v>84</v>
      </c>
      <c r="W90" s="184">
        <f t="shared" si="31"/>
        <v>166888.54357273298</v>
      </c>
      <c r="X90" s="184">
        <f t="shared" si="32"/>
        <v>166888.54357273298</v>
      </c>
      <c r="Y90" s="184">
        <f t="shared" si="33"/>
        <v>83444.27178636649</v>
      </c>
    </row>
    <row r="91" spans="2:25" ht="15" customHeight="1">
      <c r="B91" s="115">
        <f t="shared" si="17"/>
        <v>1999</v>
      </c>
      <c r="C91" s="116">
        <f t="shared" si="19"/>
        <v>51</v>
      </c>
      <c r="D91" s="51">
        <f t="shared" si="22"/>
        <v>72600</v>
      </c>
      <c r="E91" s="51">
        <f t="shared" si="23"/>
        <v>1162100</v>
      </c>
      <c r="F91" s="52">
        <f t="shared" si="29"/>
        <v>118812.56999999998</v>
      </c>
      <c r="G91" s="52">
        <f t="shared" si="24"/>
        <v>15887.41</v>
      </c>
      <c r="H91" s="118">
        <f t="shared" si="34"/>
        <v>30685.5</v>
      </c>
      <c r="I91" s="117">
        <f t="shared" si="26"/>
        <v>213308.70104992806</v>
      </c>
      <c r="J91" s="117">
        <f t="shared" si="27"/>
        <v>27673.43501353592</v>
      </c>
      <c r="K91" s="117">
        <f t="shared" si="28"/>
        <v>52489.129539134694</v>
      </c>
      <c r="L91" s="52">
        <f t="shared" si="14"/>
        <v>293471.26560259867</v>
      </c>
      <c r="M91" s="52">
        <f t="shared" si="15"/>
        <v>128085.78560259868</v>
      </c>
      <c r="N91" s="132">
        <f t="shared" si="20"/>
        <v>0.05</v>
      </c>
      <c r="O91" s="132">
        <v>0.106</v>
      </c>
      <c r="P91" s="133">
        <v>0.018000000000000002</v>
      </c>
      <c r="Q91" s="138">
        <v>0.029</v>
      </c>
      <c r="R91" s="134">
        <f t="shared" si="16"/>
        <v>0.153</v>
      </c>
      <c r="S91" s="137">
        <v>72600</v>
      </c>
      <c r="T91" s="139">
        <v>40454.45995576461</v>
      </c>
      <c r="U91" s="189">
        <f t="shared" si="21"/>
        <v>1</v>
      </c>
      <c r="V91" s="144">
        <f t="shared" si="30"/>
        <v>85</v>
      </c>
      <c r="W91" s="184">
        <f t="shared" si="31"/>
        <v>168545.05998944363</v>
      </c>
      <c r="X91" s="184">
        <f t="shared" si="32"/>
        <v>168545.05998944363</v>
      </c>
      <c r="Y91" s="184">
        <f t="shared" si="33"/>
        <v>84272.52999472182</v>
      </c>
    </row>
    <row r="92" spans="2:254" s="108" customFormat="1" ht="15" customHeight="1">
      <c r="B92" s="115">
        <f t="shared" si="17"/>
        <v>2000</v>
      </c>
      <c r="C92" s="116">
        <f t="shared" si="19"/>
        <v>52</v>
      </c>
      <c r="D92" s="51">
        <f t="shared" si="22"/>
        <v>76200</v>
      </c>
      <c r="E92" s="51">
        <f t="shared" si="23"/>
        <v>1238300</v>
      </c>
      <c r="F92" s="52">
        <f t="shared" si="29"/>
        <v>126889.76999999997</v>
      </c>
      <c r="G92" s="52">
        <f t="shared" si="24"/>
        <v>17259.01</v>
      </c>
      <c r="H92" s="118">
        <f t="shared" si="34"/>
        <v>32895.3</v>
      </c>
      <c r="I92" s="117">
        <f t="shared" si="26"/>
        <v>232253.26610242447</v>
      </c>
      <c r="J92" s="117">
        <f t="shared" si="27"/>
        <v>30462.996764212716</v>
      </c>
      <c r="K92" s="117">
        <f t="shared" si="28"/>
        <v>57378.63101609143</v>
      </c>
      <c r="L92" s="52">
        <f t="shared" si="14"/>
        <v>320094.89388272865</v>
      </c>
      <c r="M92" s="52">
        <f t="shared" si="15"/>
        <v>143050.8138827287</v>
      </c>
      <c r="N92" s="132">
        <f t="shared" si="20"/>
        <v>0.05</v>
      </c>
      <c r="O92" s="132">
        <v>0.106</v>
      </c>
      <c r="P92" s="133">
        <v>0.018000000000000002</v>
      </c>
      <c r="Q92" s="138">
        <v>0.029</v>
      </c>
      <c r="R92" s="134">
        <f t="shared" si="16"/>
        <v>0.153</v>
      </c>
      <c r="S92" s="137">
        <v>76200</v>
      </c>
      <c r="T92" s="139">
        <v>42478.731795808315</v>
      </c>
      <c r="U92" s="189">
        <f t="shared" si="21"/>
        <v>1</v>
      </c>
      <c r="V92" s="144">
        <f t="shared" si="30"/>
        <v>86</v>
      </c>
      <c r="W92" s="184">
        <f t="shared" si="31"/>
        <v>170194.70289405173</v>
      </c>
      <c r="X92" s="184">
        <f t="shared" si="32"/>
        <v>170194.70289405173</v>
      </c>
      <c r="Y92" s="184">
        <f t="shared" si="33"/>
        <v>85097.35144702587</v>
      </c>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c r="FU92" s="22"/>
      <c r="FV92" s="22"/>
      <c r="FW92" s="22"/>
      <c r="FX92" s="22"/>
      <c r="FY92" s="22"/>
      <c r="FZ92" s="22"/>
      <c r="GA92" s="22"/>
      <c r="GB92" s="22"/>
      <c r="GC92" s="22"/>
      <c r="GD92" s="22"/>
      <c r="GE92" s="22"/>
      <c r="GF92" s="22"/>
      <c r="GG92" s="22"/>
      <c r="GH92" s="22"/>
      <c r="GI92" s="22"/>
      <c r="GJ92" s="22"/>
      <c r="GK92" s="22"/>
      <c r="GL92" s="22"/>
      <c r="GM92" s="22"/>
      <c r="GN92" s="22"/>
      <c r="GO92" s="22"/>
      <c r="GP92" s="22"/>
      <c r="GQ92" s="22"/>
      <c r="GR92" s="22"/>
      <c r="GS92" s="22"/>
      <c r="GT92" s="22"/>
      <c r="GU92" s="22"/>
      <c r="GV92" s="22"/>
      <c r="GW92" s="22"/>
      <c r="GX92" s="22"/>
      <c r="GY92" s="22"/>
      <c r="GZ92" s="22"/>
      <c r="HA92" s="22"/>
      <c r="HB92" s="22"/>
      <c r="HC92" s="22"/>
      <c r="HD92" s="22"/>
      <c r="HE92" s="22"/>
      <c r="HF92" s="22"/>
      <c r="HG92" s="22"/>
      <c r="HH92" s="22"/>
      <c r="HI92" s="22"/>
      <c r="HJ92" s="22"/>
      <c r="HK92" s="22"/>
      <c r="HL92" s="22"/>
      <c r="HM92" s="22"/>
      <c r="HN92" s="22"/>
      <c r="HO92" s="22"/>
      <c r="HP92" s="22"/>
      <c r="HQ92" s="22"/>
      <c r="HR92" s="22"/>
      <c r="HS92" s="22"/>
      <c r="HT92" s="22"/>
      <c r="HU92" s="22"/>
      <c r="HV92" s="22"/>
      <c r="HW92" s="22"/>
      <c r="HX92" s="22"/>
      <c r="HY92" s="22"/>
      <c r="HZ92" s="22"/>
      <c r="IA92" s="22"/>
      <c r="IB92" s="22"/>
      <c r="IC92" s="22"/>
      <c r="ID92" s="22"/>
      <c r="IE92" s="22"/>
      <c r="IF92" s="22"/>
      <c r="IG92" s="22"/>
      <c r="IH92" s="22"/>
      <c r="II92" s="22"/>
      <c r="IJ92" s="22"/>
      <c r="IK92" s="22"/>
      <c r="IL92" s="22"/>
      <c r="IM92" s="22"/>
      <c r="IN92" s="22"/>
      <c r="IO92" s="22"/>
      <c r="IP92" s="22"/>
      <c r="IQ92" s="22"/>
      <c r="IR92" s="22"/>
      <c r="IS92" s="22"/>
      <c r="IT92" s="22"/>
    </row>
    <row r="93" spans="2:25" ht="15" customHeight="1">
      <c r="B93" s="115">
        <f t="shared" si="17"/>
        <v>2001</v>
      </c>
      <c r="C93" s="116">
        <f aca="true" t="shared" si="35" ref="C93:C124">IF(($B93-$F$15)&gt;0,($B93-$F$15),0)</f>
        <v>53</v>
      </c>
      <c r="D93" s="51">
        <f t="shared" si="22"/>
        <v>80400</v>
      </c>
      <c r="E93" s="51">
        <f t="shared" si="23"/>
        <v>1318700</v>
      </c>
      <c r="F93" s="52">
        <f t="shared" si="29"/>
        <v>135412.16999999998</v>
      </c>
      <c r="G93" s="52">
        <f t="shared" si="24"/>
        <v>18706.21</v>
      </c>
      <c r="H93" s="118">
        <f t="shared" si="34"/>
        <v>35226.9</v>
      </c>
      <c r="I93" s="117">
        <f t="shared" si="26"/>
        <v>252601.3894075457</v>
      </c>
      <c r="J93" s="117">
        <f t="shared" si="27"/>
        <v>33469.52660242335</v>
      </c>
      <c r="K93" s="117">
        <f t="shared" si="28"/>
        <v>62637.452566896</v>
      </c>
      <c r="L93" s="52">
        <f t="shared" si="14"/>
        <v>348708.36857686506</v>
      </c>
      <c r="M93" s="52">
        <f t="shared" si="15"/>
        <v>159363.0885768651</v>
      </c>
      <c r="N93" s="132">
        <f aca="true" t="shared" si="36" ref="N93:N124">$F$20</f>
        <v>0.05</v>
      </c>
      <c r="O93" s="132">
        <v>0.106</v>
      </c>
      <c r="P93" s="133">
        <v>0.018000000000000002</v>
      </c>
      <c r="Q93" s="138">
        <v>0.029</v>
      </c>
      <c r="R93" s="134">
        <f t="shared" si="16"/>
        <v>0.153</v>
      </c>
      <c r="S93" s="137">
        <v>80400</v>
      </c>
      <c r="T93" s="139">
        <v>42646.01958503604</v>
      </c>
      <c r="U93" s="189">
        <f aca="true" t="shared" si="37" ref="U93:U124">IF((B93&lt;($F$16+$F$17)),1,0)*IF((B93&gt;($F$16-1)),1,0)</f>
        <v>1</v>
      </c>
      <c r="V93" s="144">
        <f t="shared" si="30"/>
        <v>87</v>
      </c>
      <c r="W93" s="184">
        <f t="shared" si="31"/>
        <v>171837.50080735443</v>
      </c>
      <c r="X93" s="184">
        <f t="shared" si="32"/>
        <v>171837.50080735443</v>
      </c>
      <c r="Y93" s="184">
        <f t="shared" si="33"/>
        <v>85918.75040367722</v>
      </c>
    </row>
    <row r="94" spans="2:25" ht="15" customHeight="1">
      <c r="B94" s="115">
        <f t="shared" si="17"/>
        <v>2002</v>
      </c>
      <c r="C94" s="116">
        <f t="shared" si="35"/>
        <v>54</v>
      </c>
      <c r="D94" s="51">
        <f aca="true" t="shared" si="38" ref="D94:D125">$U94*IF($B94&lt;$F$16+1,IF(3=$H$18,$S94,$F$18),IF(1=$H$18,$D93*(1+($T94-$T93)/$T93),IF(2=$H$18,$D93*(1+$F$19),$S94)))</f>
        <v>84900</v>
      </c>
      <c r="E94" s="51">
        <f aca="true" t="shared" si="39" ref="E94:E125">$U94*IF(B94&gt;$F$16,E93+D94,D94)</f>
        <v>1403600</v>
      </c>
      <c r="F94" s="52">
        <f t="shared" si="29"/>
        <v>144411.56999999998</v>
      </c>
      <c r="G94" s="52">
        <f aca="true" t="shared" si="40" ref="G94:G125">$U94*(IF($S94&gt;$D94,($P94*$D94),($P94*$S94))+G93)</f>
        <v>20234.41</v>
      </c>
      <c r="H94" s="118">
        <f t="shared" si="34"/>
        <v>37689</v>
      </c>
      <c r="I94" s="117">
        <f aca="true" t="shared" si="41" ref="I94:I125">$U94*(IF($S94&gt;$D94,(($O94*$D94*$N94/2)+$O94*$D94)+I93*$N94,(($O94*$S94*$N94/2)+$O94*$S94)+I93*$N94)+I93)</f>
        <v>274455.843877923</v>
      </c>
      <c r="J94" s="117">
        <f aca="true" t="shared" si="42" ref="J94:J125">$U94*(IF($S94&gt;$D94,(($P94*$D94*$F$20/2)+((J93)*$F$20)+$P94*$D94),(($P94*$S94*$F$20/2)+$P94*$S94)+((+J93)*$F$20))+J93)</f>
        <v>36709.40793254452</v>
      </c>
      <c r="K94" s="117">
        <f aca="true" t="shared" si="43" ref="K94:K125">$U94*(IF(OR($S94&gt;$D94,$B94&gt;1963),(($Q94*$D94*$F$20/2)+((K93)*$F$20)+$Q94*$D94),(($Q94*$S94*$F$20/2)+$Q94*$S94)+((+K93)*$F$20))+K93)</f>
        <v>68292.9776952408</v>
      </c>
      <c r="L94" s="52">
        <f aca="true" t="shared" si="44" ref="L94:L157">SUM($I94,$J94,$K94)</f>
        <v>379458.2295057083</v>
      </c>
      <c r="M94" s="52">
        <f aca="true" t="shared" si="45" ref="M94:M157">$L94-($F94+$G94+$H94)</f>
        <v>177123.24950570834</v>
      </c>
      <c r="N94" s="132">
        <f t="shared" si="36"/>
        <v>0.05</v>
      </c>
      <c r="O94" s="132">
        <v>0.106</v>
      </c>
      <c r="P94" s="133">
        <v>0.018000000000000002</v>
      </c>
      <c r="Q94" s="138">
        <v>0.029</v>
      </c>
      <c r="R94" s="134">
        <f aca="true" t="shared" si="46" ref="R94:R102">O94+P94+Q94</f>
        <v>0.153</v>
      </c>
      <c r="S94" s="137">
        <v>84900</v>
      </c>
      <c r="T94" s="136">
        <v>41682.390637307566</v>
      </c>
      <c r="U94" s="189">
        <f t="shared" si="37"/>
        <v>1</v>
      </c>
      <c r="V94" s="144">
        <f t="shared" si="30"/>
        <v>88</v>
      </c>
      <c r="W94" s="184">
        <f t="shared" si="31"/>
        <v>173473.48213180524</v>
      </c>
      <c r="X94" s="184">
        <f t="shared" si="32"/>
        <v>173473.48213180524</v>
      </c>
      <c r="Y94" s="184">
        <f t="shared" si="33"/>
        <v>86736.74106590262</v>
      </c>
    </row>
    <row r="95" spans="2:25" ht="15" customHeight="1">
      <c r="B95" s="115">
        <f aca="true" t="shared" si="47" ref="B95:B158">B94+1</f>
        <v>2003</v>
      </c>
      <c r="C95" s="116">
        <f t="shared" si="35"/>
        <v>55</v>
      </c>
      <c r="D95" s="51">
        <f t="shared" si="38"/>
        <v>87000</v>
      </c>
      <c r="E95" s="51">
        <f t="shared" si="39"/>
        <v>1490600</v>
      </c>
      <c r="F95" s="52">
        <f aca="true" t="shared" si="48" ref="F95:F126">$U95*(IF($S95&gt;$D95,($O95*$D95),($O95*$S95))+F94)</f>
        <v>153633.56999999998</v>
      </c>
      <c r="G95" s="52">
        <f t="shared" si="40"/>
        <v>21800.41</v>
      </c>
      <c r="H95" s="118">
        <f t="shared" si="34"/>
        <v>40212</v>
      </c>
      <c r="I95" s="117">
        <f t="shared" si="41"/>
        <v>297631.1860718191</v>
      </c>
      <c r="J95" s="117">
        <f t="shared" si="42"/>
        <v>40150.02832917175</v>
      </c>
      <c r="K95" s="117">
        <f t="shared" si="43"/>
        <v>74293.70158000285</v>
      </c>
      <c r="L95" s="52">
        <f t="shared" si="44"/>
        <v>412074.9159809937</v>
      </c>
      <c r="M95" s="52">
        <f t="shared" si="45"/>
        <v>196428.93598099373</v>
      </c>
      <c r="N95" s="132">
        <f t="shared" si="36"/>
        <v>0.05</v>
      </c>
      <c r="O95" s="132">
        <v>0.106</v>
      </c>
      <c r="P95" s="133">
        <v>0.018000000000000002</v>
      </c>
      <c r="Q95" s="138">
        <v>0.029</v>
      </c>
      <c r="R95" s="134">
        <f t="shared" si="46"/>
        <v>0.153</v>
      </c>
      <c r="S95" s="137">
        <v>87000</v>
      </c>
      <c r="T95" s="136">
        <v>42028.709050310754</v>
      </c>
      <c r="U95" s="189">
        <f t="shared" si="37"/>
        <v>1</v>
      </c>
      <c r="V95" s="144">
        <f t="shared" si="30"/>
        <v>89</v>
      </c>
      <c r="W95" s="184">
        <f t="shared" si="31"/>
        <v>175102.67515200522</v>
      </c>
      <c r="X95" s="184">
        <f t="shared" si="32"/>
        <v>175102.67515200522</v>
      </c>
      <c r="Y95" s="184">
        <f t="shared" si="33"/>
        <v>87551.33757600261</v>
      </c>
    </row>
    <row r="96" spans="2:25" ht="15" customHeight="1">
      <c r="B96" s="115">
        <f t="shared" si="47"/>
        <v>2004</v>
      </c>
      <c r="C96" s="116">
        <f t="shared" si="35"/>
        <v>56</v>
      </c>
      <c r="D96" s="51">
        <f t="shared" si="38"/>
        <v>87900</v>
      </c>
      <c r="E96" s="51">
        <f t="shared" si="39"/>
        <v>1578500</v>
      </c>
      <c r="F96" s="52">
        <f t="shared" si="48"/>
        <v>162950.96999999997</v>
      </c>
      <c r="G96" s="52">
        <f t="shared" si="40"/>
        <v>23382.61</v>
      </c>
      <c r="H96" s="118">
        <f t="shared" si="34"/>
        <v>42761.1</v>
      </c>
      <c r="I96" s="117">
        <f t="shared" si="41"/>
        <v>322063.08037541003</v>
      </c>
      <c r="J96" s="117">
        <f t="shared" si="42"/>
        <v>43779.284745630335</v>
      </c>
      <c r="K96" s="117">
        <f t="shared" si="43"/>
        <v>80621.214159003</v>
      </c>
      <c r="L96" s="52">
        <f t="shared" si="44"/>
        <v>446463.57928004337</v>
      </c>
      <c r="M96" s="52">
        <f t="shared" si="45"/>
        <v>217368.8992800434</v>
      </c>
      <c r="N96" s="132">
        <f t="shared" si="36"/>
        <v>0.05</v>
      </c>
      <c r="O96" s="132">
        <v>0.106</v>
      </c>
      <c r="P96" s="133">
        <v>0.018000000000000002</v>
      </c>
      <c r="Q96" s="138">
        <v>0.029</v>
      </c>
      <c r="R96" s="134">
        <f t="shared" si="46"/>
        <v>0.153</v>
      </c>
      <c r="S96" s="137">
        <v>87900</v>
      </c>
      <c r="T96" s="136">
        <v>44333.69793094709</v>
      </c>
      <c r="U96" s="189">
        <f t="shared" si="37"/>
        <v>1</v>
      </c>
      <c r="V96" s="144">
        <f t="shared" si="30"/>
        <v>90</v>
      </c>
      <c r="W96" s="184">
        <f t="shared" si="31"/>
        <v>176725.10803519192</v>
      </c>
      <c r="X96" s="184">
        <f t="shared" si="32"/>
        <v>176725.10803519192</v>
      </c>
      <c r="Y96" s="184">
        <f t="shared" si="33"/>
        <v>88362.55401759596</v>
      </c>
    </row>
    <row r="97" spans="2:25" ht="15">
      <c r="B97" s="115">
        <f t="shared" si="47"/>
        <v>2005</v>
      </c>
      <c r="C97" s="116">
        <f t="shared" si="35"/>
        <v>57</v>
      </c>
      <c r="D97" s="51">
        <f t="shared" si="38"/>
        <v>90000</v>
      </c>
      <c r="E97" s="51">
        <f t="shared" si="39"/>
        <v>1668500</v>
      </c>
      <c r="F97" s="52">
        <f t="shared" si="48"/>
        <v>172490.96999999997</v>
      </c>
      <c r="G97" s="52">
        <f t="shared" si="40"/>
        <v>25002.61</v>
      </c>
      <c r="H97" s="118">
        <f t="shared" si="34"/>
        <v>45371.1</v>
      </c>
      <c r="I97" s="117">
        <f t="shared" si="41"/>
        <v>347944.73439418053</v>
      </c>
      <c r="J97" s="117">
        <f t="shared" si="42"/>
        <v>47628.74898291185</v>
      </c>
      <c r="K97" s="117">
        <f t="shared" si="43"/>
        <v>87327.52486695314</v>
      </c>
      <c r="L97" s="52">
        <f t="shared" si="44"/>
        <v>482901.00824404554</v>
      </c>
      <c r="M97" s="52">
        <f t="shared" si="45"/>
        <v>240036.32824404558</v>
      </c>
      <c r="N97" s="132">
        <f t="shared" si="36"/>
        <v>0.05</v>
      </c>
      <c r="O97" s="132">
        <v>0.106</v>
      </c>
      <c r="P97" s="133">
        <v>0.018000000000000002</v>
      </c>
      <c r="Q97" s="138">
        <v>0.029</v>
      </c>
      <c r="R97" s="134">
        <f t="shared" si="46"/>
        <v>0.153</v>
      </c>
      <c r="S97" s="137">
        <v>90000</v>
      </c>
      <c r="T97" s="136">
        <v>46820.42897978489</v>
      </c>
      <c r="U97" s="189">
        <f t="shared" si="37"/>
        <v>1</v>
      </c>
      <c r="V97" s="144">
        <f t="shared" si="30"/>
        <v>91</v>
      </c>
      <c r="W97" s="184">
        <f t="shared" si="31"/>
        <v>178340.8088317264</v>
      </c>
      <c r="X97" s="184">
        <f t="shared" si="32"/>
        <v>178340.8088317264</v>
      </c>
      <c r="Y97" s="184">
        <f t="shared" si="33"/>
        <v>89170.4044158632</v>
      </c>
    </row>
    <row r="98" spans="2:25" ht="15">
      <c r="B98" s="115">
        <f t="shared" si="47"/>
        <v>2006</v>
      </c>
      <c r="C98" s="116">
        <f t="shared" si="35"/>
        <v>58</v>
      </c>
      <c r="D98" s="51">
        <f t="shared" si="38"/>
        <v>94200</v>
      </c>
      <c r="E98" s="51">
        <f t="shared" si="39"/>
        <v>1762700</v>
      </c>
      <c r="F98" s="52">
        <f t="shared" si="48"/>
        <v>182476.16999999998</v>
      </c>
      <c r="G98" s="52">
        <f t="shared" si="40"/>
        <v>26698.21</v>
      </c>
      <c r="H98" s="118">
        <f t="shared" si="34"/>
        <v>48102.9</v>
      </c>
      <c r="I98" s="117">
        <f t="shared" si="41"/>
        <v>375576.80111388955</v>
      </c>
      <c r="J98" s="117">
        <f t="shared" si="42"/>
        <v>51748.176432057444</v>
      </c>
      <c r="K98" s="117">
        <f t="shared" si="43"/>
        <v>94493.9961103008</v>
      </c>
      <c r="L98" s="52">
        <f t="shared" si="44"/>
        <v>521818.97365624784</v>
      </c>
      <c r="M98" s="52">
        <f t="shared" si="45"/>
        <v>264541.69365624787</v>
      </c>
      <c r="N98" s="132">
        <f t="shared" si="36"/>
        <v>0.05</v>
      </c>
      <c r="O98" s="132">
        <v>0.106</v>
      </c>
      <c r="P98" s="133">
        <v>0.018000000000000002</v>
      </c>
      <c r="Q98" s="138">
        <v>0.029</v>
      </c>
      <c r="R98" s="134">
        <f t="shared" si="46"/>
        <v>0.153</v>
      </c>
      <c r="S98" s="137">
        <v>94200</v>
      </c>
      <c r="T98" s="136">
        <v>49247.77616434756</v>
      </c>
      <c r="U98" s="189">
        <f t="shared" si="37"/>
        <v>1</v>
      </c>
      <c r="V98" s="144">
        <f t="shared" si="30"/>
        <v>92</v>
      </c>
      <c r="W98" s="184">
        <f t="shared" si="31"/>
        <v>179949.80547557815</v>
      </c>
      <c r="X98" s="184">
        <f t="shared" si="32"/>
        <v>179949.80547557815</v>
      </c>
      <c r="Y98" s="184">
        <f t="shared" si="33"/>
        <v>89974.90273778907</v>
      </c>
    </row>
    <row r="99" spans="2:254" s="108" customFormat="1" ht="15">
      <c r="B99" s="115">
        <f t="shared" si="47"/>
        <v>2007</v>
      </c>
      <c r="C99" s="116">
        <f t="shared" si="35"/>
        <v>59</v>
      </c>
      <c r="D99" s="51">
        <f t="shared" si="38"/>
        <v>97500</v>
      </c>
      <c r="E99" s="51">
        <f t="shared" si="39"/>
        <v>1860200</v>
      </c>
      <c r="F99" s="52">
        <f t="shared" si="48"/>
        <v>192811.16999999998</v>
      </c>
      <c r="G99" s="52">
        <f t="shared" si="40"/>
        <v>28453.21</v>
      </c>
      <c r="H99" s="118">
        <f t="shared" si="34"/>
        <v>50930.4</v>
      </c>
      <c r="I99" s="117">
        <f t="shared" si="41"/>
        <v>404949.016169584</v>
      </c>
      <c r="J99" s="117">
        <f t="shared" si="42"/>
        <v>56134.46025366032</v>
      </c>
      <c r="K99" s="117">
        <f t="shared" si="43"/>
        <v>102116.88341581583</v>
      </c>
      <c r="L99" s="52">
        <f t="shared" si="44"/>
        <v>563200.3598390601</v>
      </c>
      <c r="M99" s="52">
        <f t="shared" si="45"/>
        <v>291005.57983906014</v>
      </c>
      <c r="N99" s="132">
        <f t="shared" si="36"/>
        <v>0.05</v>
      </c>
      <c r="O99" s="132">
        <v>0.106</v>
      </c>
      <c r="P99" s="133">
        <v>0.018000000000000002</v>
      </c>
      <c r="Q99" s="138">
        <v>0.029</v>
      </c>
      <c r="R99" s="134">
        <f t="shared" si="46"/>
        <v>0.153</v>
      </c>
      <c r="S99" s="137">
        <v>97500</v>
      </c>
      <c r="T99" s="136">
        <v>52080.03197502989</v>
      </c>
      <c r="U99" s="189">
        <f t="shared" si="37"/>
        <v>1</v>
      </c>
      <c r="V99" s="144">
        <f t="shared" si="30"/>
        <v>93</v>
      </c>
      <c r="W99" s="184">
        <f t="shared" si="31"/>
        <v>181552.1257848081</v>
      </c>
      <c r="X99" s="184">
        <f t="shared" si="32"/>
        <v>181552.1257848081</v>
      </c>
      <c r="Y99" s="184">
        <f t="shared" si="33"/>
        <v>90776.06289240405</v>
      </c>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c r="HP99" s="22"/>
      <c r="HQ99" s="22"/>
      <c r="HR99" s="22"/>
      <c r="HS99" s="22"/>
      <c r="HT99" s="22"/>
      <c r="HU99" s="22"/>
      <c r="HV99" s="22"/>
      <c r="HW99" s="22"/>
      <c r="HX99" s="22"/>
      <c r="HY99" s="22"/>
      <c r="HZ99" s="22"/>
      <c r="IA99" s="22"/>
      <c r="IB99" s="22"/>
      <c r="IC99" s="22"/>
      <c r="ID99" s="22"/>
      <c r="IE99" s="22"/>
      <c r="IF99" s="22"/>
      <c r="IG99" s="22"/>
      <c r="IH99" s="22"/>
      <c r="II99" s="22"/>
      <c r="IJ99" s="22"/>
      <c r="IK99" s="22"/>
      <c r="IL99" s="22"/>
      <c r="IM99" s="22"/>
      <c r="IN99" s="22"/>
      <c r="IO99" s="22"/>
      <c r="IP99" s="22"/>
      <c r="IQ99" s="22"/>
      <c r="IR99" s="22"/>
      <c r="IS99" s="22"/>
      <c r="IT99" s="22"/>
    </row>
    <row r="100" spans="2:25" ht="15">
      <c r="B100" s="115">
        <f t="shared" si="47"/>
        <v>2008</v>
      </c>
      <c r="C100" s="116">
        <f t="shared" si="35"/>
        <v>60</v>
      </c>
      <c r="D100" s="51">
        <f t="shared" si="38"/>
        <v>102000</v>
      </c>
      <c r="E100" s="51">
        <f t="shared" si="39"/>
        <v>1962200</v>
      </c>
      <c r="F100" s="52">
        <f t="shared" si="48"/>
        <v>203623.16999999998</v>
      </c>
      <c r="G100" s="52">
        <f t="shared" si="40"/>
        <v>30289.21</v>
      </c>
      <c r="H100" s="118">
        <f t="shared" si="34"/>
        <v>53888.4</v>
      </c>
      <c r="I100" s="117">
        <f t="shared" si="41"/>
        <v>436278.7669780632</v>
      </c>
      <c r="J100" s="117">
        <f t="shared" si="42"/>
        <v>60823.08326634334</v>
      </c>
      <c r="K100" s="117">
        <f t="shared" si="43"/>
        <v>110254.67758660662</v>
      </c>
      <c r="L100" s="52">
        <f t="shared" si="44"/>
        <v>607356.5278310132</v>
      </c>
      <c r="M100" s="52">
        <f t="shared" si="45"/>
        <v>319555.7478310132</v>
      </c>
      <c r="N100" s="132">
        <f t="shared" si="36"/>
        <v>0.05</v>
      </c>
      <c r="O100" s="132">
        <v>0.106</v>
      </c>
      <c r="P100" s="133">
        <v>0.018000000000000002</v>
      </c>
      <c r="Q100" s="138">
        <v>0.029</v>
      </c>
      <c r="R100" s="134">
        <f t="shared" si="46"/>
        <v>0.153</v>
      </c>
      <c r="S100" s="137">
        <v>102000</v>
      </c>
      <c r="T100" s="136">
        <v>51254.78479883512</v>
      </c>
      <c r="U100" s="189">
        <f t="shared" si="37"/>
        <v>1</v>
      </c>
      <c r="V100" s="144">
        <f t="shared" si="30"/>
        <v>94</v>
      </c>
      <c r="W100" s="184">
        <f t="shared" si="31"/>
        <v>183147.79746204955</v>
      </c>
      <c r="X100" s="184">
        <f t="shared" si="32"/>
        <v>183147.79746204955</v>
      </c>
      <c r="Y100" s="184">
        <f t="shared" si="33"/>
        <v>91573.89873102478</v>
      </c>
    </row>
    <row r="101" spans="2:25" ht="15">
      <c r="B101" s="115">
        <f t="shared" si="47"/>
        <v>2009</v>
      </c>
      <c r="C101" s="116">
        <f t="shared" si="35"/>
        <v>61</v>
      </c>
      <c r="D101" s="51">
        <f t="shared" si="38"/>
        <v>106800</v>
      </c>
      <c r="E101" s="51">
        <f t="shared" si="39"/>
        <v>2069000</v>
      </c>
      <c r="F101" s="52">
        <f t="shared" si="48"/>
        <v>214943.96999999997</v>
      </c>
      <c r="G101" s="52">
        <f t="shared" si="40"/>
        <v>32211.61</v>
      </c>
      <c r="H101" s="118">
        <f t="shared" si="34"/>
        <v>56985.6</v>
      </c>
      <c r="I101" s="117">
        <f t="shared" si="41"/>
        <v>469696.52532696637</v>
      </c>
      <c r="J101" s="117">
        <f t="shared" si="42"/>
        <v>65834.6974296605</v>
      </c>
      <c r="K101" s="117">
        <f t="shared" si="43"/>
        <v>118942.04146593696</v>
      </c>
      <c r="L101" s="52">
        <f t="shared" si="44"/>
        <v>654473.2642225638</v>
      </c>
      <c r="M101" s="52">
        <f t="shared" si="45"/>
        <v>350332.0842225639</v>
      </c>
      <c r="N101" s="132">
        <f t="shared" si="36"/>
        <v>0.05</v>
      </c>
      <c r="O101" s="132">
        <v>0.106</v>
      </c>
      <c r="P101" s="133">
        <v>0.018000000000000002</v>
      </c>
      <c r="Q101" s="138">
        <v>0.029</v>
      </c>
      <c r="R101" s="134">
        <f t="shared" si="46"/>
        <v>0.153</v>
      </c>
      <c r="S101" s="137">
        <v>106800</v>
      </c>
      <c r="T101" s="136">
        <v>48062.959561816555</v>
      </c>
      <c r="U101" s="189">
        <f t="shared" si="37"/>
        <v>1</v>
      </c>
      <c r="V101" s="144">
        <f t="shared" si="30"/>
        <v>95</v>
      </c>
      <c r="W101" s="184">
        <f t="shared" si="31"/>
        <v>184736.8480949871</v>
      </c>
      <c r="X101" s="184">
        <f t="shared" si="32"/>
        <v>184736.8480949871</v>
      </c>
      <c r="Y101" s="184">
        <f t="shared" si="33"/>
        <v>92368.42404749355</v>
      </c>
    </row>
    <row r="102" spans="2:25" ht="15">
      <c r="B102" s="115">
        <f t="shared" si="47"/>
        <v>2010</v>
      </c>
      <c r="C102" s="116">
        <f t="shared" si="35"/>
        <v>62</v>
      </c>
      <c r="D102" s="51">
        <f t="shared" si="38"/>
        <v>106800</v>
      </c>
      <c r="E102" s="51">
        <f t="shared" si="39"/>
        <v>2175800</v>
      </c>
      <c r="F102" s="52">
        <f t="shared" si="48"/>
        <v>226264.76999999996</v>
      </c>
      <c r="G102" s="52">
        <f t="shared" si="40"/>
        <v>34134.01</v>
      </c>
      <c r="H102" s="118">
        <f t="shared" si="34"/>
        <v>60082.799999999996</v>
      </c>
      <c r="I102" s="117">
        <f t="shared" si="41"/>
        <v>504785.1715933147</v>
      </c>
      <c r="J102" s="117">
        <f t="shared" si="42"/>
        <v>71096.89230114353</v>
      </c>
      <c r="K102" s="117">
        <f t="shared" si="43"/>
        <v>128063.7735392338</v>
      </c>
      <c r="L102" s="52">
        <f t="shared" si="44"/>
        <v>703945.8374336921</v>
      </c>
      <c r="M102" s="52">
        <f t="shared" si="45"/>
        <v>383464.2574336921</v>
      </c>
      <c r="N102" s="132">
        <f t="shared" si="36"/>
        <v>0.05</v>
      </c>
      <c r="O102" s="132">
        <v>0.106</v>
      </c>
      <c r="P102" s="133">
        <v>0.018000000000000002</v>
      </c>
      <c r="Q102" s="138">
        <v>0.029</v>
      </c>
      <c r="R102" s="134">
        <f t="shared" si="46"/>
        <v>0.153</v>
      </c>
      <c r="S102" s="137">
        <v>106800</v>
      </c>
      <c r="T102" s="136">
        <v>49234.998431166634</v>
      </c>
      <c r="U102" s="189">
        <f t="shared" si="37"/>
        <v>1</v>
      </c>
      <c r="V102" s="144">
        <f t="shared" si="30"/>
        <v>96</v>
      </c>
      <c r="W102" s="184">
        <f t="shared" si="31"/>
        <v>186319.30515683364</v>
      </c>
      <c r="X102" s="184">
        <f t="shared" si="32"/>
        <v>186319.30515683364</v>
      </c>
      <c r="Y102" s="184">
        <f t="shared" si="33"/>
        <v>93159.65257841682</v>
      </c>
    </row>
    <row r="103" spans="2:25" ht="15">
      <c r="B103" s="115">
        <f t="shared" si="47"/>
        <v>2011</v>
      </c>
      <c r="C103" s="116">
        <f t="shared" si="35"/>
        <v>63</v>
      </c>
      <c r="D103" s="51">
        <f t="shared" si="38"/>
        <v>106800</v>
      </c>
      <c r="E103" s="51">
        <f t="shared" si="39"/>
        <v>2282600</v>
      </c>
      <c r="F103" s="52">
        <f t="shared" si="48"/>
        <v>237585.56999999995</v>
      </c>
      <c r="G103" s="52">
        <f t="shared" si="40"/>
        <v>36056.41</v>
      </c>
      <c r="H103" s="118">
        <f t="shared" si="34"/>
        <v>63179.99999999999</v>
      </c>
      <c r="I103" s="117">
        <f t="shared" si="41"/>
        <v>541628.2501729804</v>
      </c>
      <c r="J103" s="117">
        <f t="shared" si="42"/>
        <v>76622.1969162007</v>
      </c>
      <c r="K103" s="117">
        <f t="shared" si="43"/>
        <v>137641.5922161955</v>
      </c>
      <c r="L103" s="52">
        <f t="shared" si="44"/>
        <v>755892.0393053766</v>
      </c>
      <c r="M103" s="52">
        <f t="shared" si="45"/>
        <v>419070.0593053766</v>
      </c>
      <c r="N103" s="132">
        <f t="shared" si="36"/>
        <v>0.05</v>
      </c>
      <c r="O103" s="132">
        <v>0.106</v>
      </c>
      <c r="P103" s="133">
        <v>0.018000000000000002</v>
      </c>
      <c r="Q103" s="138">
        <v>0.029</v>
      </c>
      <c r="R103" s="132">
        <v>0.153</v>
      </c>
      <c r="S103" s="140">
        <v>106800</v>
      </c>
      <c r="T103" s="140">
        <v>50416.44</v>
      </c>
      <c r="U103" s="189">
        <f t="shared" si="37"/>
        <v>1</v>
      </c>
      <c r="V103" s="144">
        <f t="shared" si="30"/>
        <v>97</v>
      </c>
      <c r="W103" s="184">
        <f t="shared" si="31"/>
        <v>187895.1960068053</v>
      </c>
      <c r="X103" s="184">
        <f t="shared" si="32"/>
        <v>187895.1960068053</v>
      </c>
      <c r="Y103" s="184">
        <f t="shared" si="33"/>
        <v>93947.59800340264</v>
      </c>
    </row>
    <row r="104" spans="2:25" ht="15">
      <c r="B104" s="115">
        <f t="shared" si="47"/>
        <v>2012</v>
      </c>
      <c r="C104" s="116">
        <f t="shared" si="35"/>
        <v>64</v>
      </c>
      <c r="D104" s="51">
        <f t="shared" si="38"/>
        <v>110100</v>
      </c>
      <c r="E104" s="51">
        <f t="shared" si="39"/>
        <v>2392700</v>
      </c>
      <c r="F104" s="52">
        <f t="shared" si="48"/>
        <v>249256.16999999995</v>
      </c>
      <c r="G104" s="52">
        <f t="shared" si="40"/>
        <v>38038.21000000001</v>
      </c>
      <c r="H104" s="118">
        <f t="shared" si="34"/>
        <v>66372.9</v>
      </c>
      <c r="I104" s="117">
        <f t="shared" si="41"/>
        <v>580672.0276816294</v>
      </c>
      <c r="J104" s="117">
        <f t="shared" si="42"/>
        <v>82484.65176201073</v>
      </c>
      <c r="K104" s="117">
        <f t="shared" si="43"/>
        <v>147796.39432700528</v>
      </c>
      <c r="L104" s="52">
        <f t="shared" si="44"/>
        <v>810953.0737706454</v>
      </c>
      <c r="M104" s="52">
        <f t="shared" si="45"/>
        <v>457285.7937706455</v>
      </c>
      <c r="N104" s="132">
        <f t="shared" si="36"/>
        <v>0.05</v>
      </c>
      <c r="O104" s="132">
        <v>0.106</v>
      </c>
      <c r="P104" s="133">
        <v>0.018000000000000002</v>
      </c>
      <c r="Q104" s="138">
        <v>0.029</v>
      </c>
      <c r="R104" s="132">
        <v>0.153</v>
      </c>
      <c r="S104" s="140">
        <v>110100</v>
      </c>
      <c r="T104" s="269">
        <f aca="true" t="shared" si="49" ref="T104:T167">T103*(1+$F$19)</f>
        <v>53355.718452</v>
      </c>
      <c r="U104" s="189">
        <f t="shared" si="37"/>
        <v>1</v>
      </c>
      <c r="V104" s="144">
        <f t="shared" si="30"/>
        <v>98</v>
      </c>
      <c r="W104" s="184">
        <f t="shared" si="31"/>
        <v>189464.54789059446</v>
      </c>
      <c r="X104" s="184">
        <f t="shared" si="32"/>
        <v>189464.54789059446</v>
      </c>
      <c r="Y104" s="184">
        <f t="shared" si="33"/>
        <v>94732.27394529723</v>
      </c>
    </row>
    <row r="105" spans="2:25" ht="15">
      <c r="B105" s="115">
        <f t="shared" si="47"/>
        <v>2013</v>
      </c>
      <c r="C105" s="116">
        <f t="shared" si="35"/>
        <v>65</v>
      </c>
      <c r="D105" s="51">
        <f t="shared" si="38"/>
        <v>0</v>
      </c>
      <c r="E105" s="51">
        <f t="shared" si="39"/>
        <v>0</v>
      </c>
      <c r="F105" s="52">
        <f t="shared" si="48"/>
        <v>0</v>
      </c>
      <c r="G105" s="52">
        <f t="shared" si="40"/>
        <v>0</v>
      </c>
      <c r="H105" s="118">
        <f t="shared" si="34"/>
        <v>0</v>
      </c>
      <c r="I105" s="117">
        <f t="shared" si="41"/>
        <v>0</v>
      </c>
      <c r="J105" s="117">
        <f t="shared" si="42"/>
        <v>0</v>
      </c>
      <c r="K105" s="117">
        <f t="shared" si="43"/>
        <v>0</v>
      </c>
      <c r="L105" s="52">
        <f t="shared" si="44"/>
        <v>0</v>
      </c>
      <c r="M105" s="52">
        <f t="shared" si="45"/>
        <v>0</v>
      </c>
      <c r="N105" s="132">
        <f t="shared" si="36"/>
        <v>0.05</v>
      </c>
      <c r="O105" s="132">
        <v>0.106</v>
      </c>
      <c r="P105" s="132">
        <v>0.018000000000000002</v>
      </c>
      <c r="Q105" s="119">
        <f>IF(D105&gt;249999,0.03,0.029)</f>
        <v>0.029</v>
      </c>
      <c r="R105" s="132">
        <v>0.153</v>
      </c>
      <c r="S105" s="140">
        <v>113700</v>
      </c>
      <c r="T105" s="269">
        <f t="shared" si="49"/>
        <v>56466.3568377516</v>
      </c>
      <c r="U105" s="189">
        <f t="shared" si="37"/>
        <v>0</v>
      </c>
      <c r="V105" s="144">
        <f t="shared" si="30"/>
        <v>99</v>
      </c>
      <c r="W105" s="184">
        <f t="shared" si="31"/>
        <v>191027.38794084094</v>
      </c>
      <c r="X105" s="184">
        <f t="shared" si="32"/>
        <v>191027.38794084094</v>
      </c>
      <c r="Y105" s="184">
        <f t="shared" si="33"/>
        <v>95513.69397042047</v>
      </c>
    </row>
    <row r="106" spans="2:25" ht="15">
      <c r="B106" s="115">
        <f t="shared" si="47"/>
        <v>2014</v>
      </c>
      <c r="C106" s="116">
        <f t="shared" si="35"/>
        <v>66</v>
      </c>
      <c r="D106" s="51">
        <f t="shared" si="38"/>
        <v>0</v>
      </c>
      <c r="E106" s="51">
        <f t="shared" si="39"/>
        <v>0</v>
      </c>
      <c r="F106" s="52">
        <f t="shared" si="48"/>
        <v>0</v>
      </c>
      <c r="G106" s="52">
        <f t="shared" si="40"/>
        <v>0</v>
      </c>
      <c r="H106" s="118">
        <f t="shared" si="34"/>
        <v>0</v>
      </c>
      <c r="I106" s="117">
        <f t="shared" si="41"/>
        <v>0</v>
      </c>
      <c r="J106" s="117">
        <f t="shared" si="42"/>
        <v>0</v>
      </c>
      <c r="K106" s="117">
        <f t="shared" si="43"/>
        <v>0</v>
      </c>
      <c r="L106" s="52">
        <f t="shared" si="44"/>
        <v>0</v>
      </c>
      <c r="M106" s="52">
        <f t="shared" si="45"/>
        <v>0</v>
      </c>
      <c r="N106" s="132">
        <f t="shared" si="36"/>
        <v>0.05</v>
      </c>
      <c r="O106" s="132">
        <v>0.106</v>
      </c>
      <c r="P106" s="132">
        <v>0.018000000000000002</v>
      </c>
      <c r="Q106" s="119">
        <f aca="true" t="shared" si="50" ref="Q106:Q169">IF(D106&gt;249999,0.03,0.029)</f>
        <v>0.029</v>
      </c>
      <c r="R106" s="132">
        <v>0.153</v>
      </c>
      <c r="S106" s="140">
        <v>113700</v>
      </c>
      <c r="T106" s="269">
        <f t="shared" si="49"/>
        <v>59758.34544139252</v>
      </c>
      <c r="U106" s="189">
        <f t="shared" si="37"/>
        <v>0</v>
      </c>
      <c r="V106" s="144">
        <f t="shared" si="30"/>
        <v>100</v>
      </c>
      <c r="W106" s="184">
        <f t="shared" si="31"/>
        <v>192583.74317760093</v>
      </c>
      <c r="X106" s="184">
        <f t="shared" si="32"/>
        <v>192583.74317760093</v>
      </c>
      <c r="Y106" s="184">
        <f t="shared" si="33"/>
        <v>96291.87158880047</v>
      </c>
    </row>
    <row r="107" spans="2:25" ht="15">
      <c r="B107" s="115">
        <f t="shared" si="47"/>
        <v>2015</v>
      </c>
      <c r="C107" s="116">
        <f t="shared" si="35"/>
        <v>67</v>
      </c>
      <c r="D107" s="51">
        <f t="shared" si="38"/>
        <v>0</v>
      </c>
      <c r="E107" s="51">
        <f t="shared" si="39"/>
        <v>0</v>
      </c>
      <c r="F107" s="52">
        <f t="shared" si="48"/>
        <v>0</v>
      </c>
      <c r="G107" s="52">
        <f t="shared" si="40"/>
        <v>0</v>
      </c>
      <c r="H107" s="118">
        <f t="shared" si="34"/>
        <v>0</v>
      </c>
      <c r="I107" s="117">
        <f t="shared" si="41"/>
        <v>0</v>
      </c>
      <c r="J107" s="117">
        <f t="shared" si="42"/>
        <v>0</v>
      </c>
      <c r="K107" s="117">
        <f t="shared" si="43"/>
        <v>0</v>
      </c>
      <c r="L107" s="52">
        <f t="shared" si="44"/>
        <v>0</v>
      </c>
      <c r="M107" s="52">
        <f t="shared" si="45"/>
        <v>0</v>
      </c>
      <c r="N107" s="132">
        <f t="shared" si="36"/>
        <v>0.05</v>
      </c>
      <c r="O107" s="132">
        <v>0.106</v>
      </c>
      <c r="P107" s="132">
        <v>0.018000000000000002</v>
      </c>
      <c r="Q107" s="119">
        <f t="shared" si="50"/>
        <v>0.029</v>
      </c>
      <c r="R107" s="132">
        <v>0.153</v>
      </c>
      <c r="S107" s="140">
        <v>113700</v>
      </c>
      <c r="T107" s="269">
        <f t="shared" si="49"/>
        <v>63242.25698062571</v>
      </c>
      <c r="U107" s="189">
        <f t="shared" si="37"/>
        <v>0</v>
      </c>
      <c r="V107" s="144">
        <f t="shared" si="30"/>
        <v>101</v>
      </c>
      <c r="W107" s="184">
        <f t="shared" si="31"/>
        <v>194133.6405088142</v>
      </c>
      <c r="X107" s="184">
        <f t="shared" si="32"/>
        <v>194133.6405088142</v>
      </c>
      <c r="Y107" s="184">
        <f t="shared" si="33"/>
        <v>97066.8202544071</v>
      </c>
    </row>
    <row r="108" spans="2:25" ht="15">
      <c r="B108" s="115">
        <f t="shared" si="47"/>
        <v>2016</v>
      </c>
      <c r="C108" s="116">
        <f t="shared" si="35"/>
        <v>68</v>
      </c>
      <c r="D108" s="51">
        <f t="shared" si="38"/>
        <v>0</v>
      </c>
      <c r="E108" s="51">
        <f t="shared" si="39"/>
        <v>0</v>
      </c>
      <c r="F108" s="52">
        <f t="shared" si="48"/>
        <v>0</v>
      </c>
      <c r="G108" s="52">
        <f t="shared" si="40"/>
        <v>0</v>
      </c>
      <c r="H108" s="118">
        <f t="shared" si="34"/>
        <v>0</v>
      </c>
      <c r="I108" s="117">
        <f t="shared" si="41"/>
        <v>0</v>
      </c>
      <c r="J108" s="117">
        <f t="shared" si="42"/>
        <v>0</v>
      </c>
      <c r="K108" s="117">
        <f t="shared" si="43"/>
        <v>0</v>
      </c>
      <c r="L108" s="52">
        <f t="shared" si="44"/>
        <v>0</v>
      </c>
      <c r="M108" s="52">
        <f t="shared" si="45"/>
        <v>0</v>
      </c>
      <c r="N108" s="132">
        <f t="shared" si="36"/>
        <v>0.05</v>
      </c>
      <c r="O108" s="132">
        <v>0.106</v>
      </c>
      <c r="P108" s="132">
        <v>0.018000000000000002</v>
      </c>
      <c r="Q108" s="119">
        <f t="shared" si="50"/>
        <v>0.029</v>
      </c>
      <c r="R108" s="132">
        <v>0.153</v>
      </c>
      <c r="S108" s="140">
        <v>113700</v>
      </c>
      <c r="T108" s="269">
        <f t="shared" si="49"/>
        <v>66929.28056259619</v>
      </c>
      <c r="U108" s="189">
        <f t="shared" si="37"/>
        <v>0</v>
      </c>
      <c r="V108" s="144">
        <f t="shared" si="30"/>
        <v>102</v>
      </c>
      <c r="W108" s="184">
        <f t="shared" si="31"/>
        <v>195677.10673076933</v>
      </c>
      <c r="X108" s="184">
        <f t="shared" si="32"/>
        <v>195677.10673076933</v>
      </c>
      <c r="Y108" s="184">
        <f t="shared" si="33"/>
        <v>97838.55336538467</v>
      </c>
    </row>
    <row r="109" spans="2:25" ht="15">
      <c r="B109" s="115">
        <f t="shared" si="47"/>
        <v>2017</v>
      </c>
      <c r="C109" s="116">
        <f t="shared" si="35"/>
        <v>69</v>
      </c>
      <c r="D109" s="51">
        <f t="shared" si="38"/>
        <v>0</v>
      </c>
      <c r="E109" s="51">
        <f t="shared" si="39"/>
        <v>0</v>
      </c>
      <c r="F109" s="52">
        <f t="shared" si="48"/>
        <v>0</v>
      </c>
      <c r="G109" s="52">
        <f t="shared" si="40"/>
        <v>0</v>
      </c>
      <c r="H109" s="118">
        <f t="shared" si="34"/>
        <v>0</v>
      </c>
      <c r="I109" s="117">
        <f t="shared" si="41"/>
        <v>0</v>
      </c>
      <c r="J109" s="117">
        <f t="shared" si="42"/>
        <v>0</v>
      </c>
      <c r="K109" s="117">
        <f t="shared" si="43"/>
        <v>0</v>
      </c>
      <c r="L109" s="52">
        <f t="shared" si="44"/>
        <v>0</v>
      </c>
      <c r="M109" s="52">
        <f t="shared" si="45"/>
        <v>0</v>
      </c>
      <c r="N109" s="132">
        <f t="shared" si="36"/>
        <v>0.05</v>
      </c>
      <c r="O109" s="132">
        <v>0.106</v>
      </c>
      <c r="P109" s="132">
        <v>0.018000000000000002</v>
      </c>
      <c r="Q109" s="119">
        <f t="shared" si="50"/>
        <v>0.029</v>
      </c>
      <c r="R109" s="132">
        <v>0.153</v>
      </c>
      <c r="S109" s="140">
        <v>113700</v>
      </c>
      <c r="T109" s="269">
        <f t="shared" si="49"/>
        <v>70831.25761939555</v>
      </c>
      <c r="U109" s="189">
        <f t="shared" si="37"/>
        <v>0</v>
      </c>
      <c r="V109" s="144">
        <f t="shared" si="30"/>
        <v>103</v>
      </c>
      <c r="W109" s="184">
        <f t="shared" si="31"/>
        <v>197214.16852856695</v>
      </c>
      <c r="X109" s="184">
        <f t="shared" si="32"/>
        <v>197214.16852856695</v>
      </c>
      <c r="Y109" s="184">
        <f t="shared" si="33"/>
        <v>98607.08426428348</v>
      </c>
    </row>
    <row r="110" spans="2:25" ht="15">
      <c r="B110" s="115">
        <f t="shared" si="47"/>
        <v>2018</v>
      </c>
      <c r="C110" s="116">
        <f t="shared" si="35"/>
        <v>70</v>
      </c>
      <c r="D110" s="51">
        <f t="shared" si="38"/>
        <v>0</v>
      </c>
      <c r="E110" s="51">
        <f t="shared" si="39"/>
        <v>0</v>
      </c>
      <c r="F110" s="52">
        <f t="shared" si="48"/>
        <v>0</v>
      </c>
      <c r="G110" s="52">
        <f t="shared" si="40"/>
        <v>0</v>
      </c>
      <c r="H110" s="118">
        <f t="shared" si="34"/>
        <v>0</v>
      </c>
      <c r="I110" s="117">
        <f t="shared" si="41"/>
        <v>0</v>
      </c>
      <c r="J110" s="117">
        <f t="shared" si="42"/>
        <v>0</v>
      </c>
      <c r="K110" s="117">
        <f t="shared" si="43"/>
        <v>0</v>
      </c>
      <c r="L110" s="52">
        <f t="shared" si="44"/>
        <v>0</v>
      </c>
      <c r="M110" s="52">
        <f t="shared" si="45"/>
        <v>0</v>
      </c>
      <c r="N110" s="132">
        <f t="shared" si="36"/>
        <v>0.05</v>
      </c>
      <c r="O110" s="132">
        <v>0.106</v>
      </c>
      <c r="P110" s="132">
        <v>0.018000000000000002</v>
      </c>
      <c r="Q110" s="119">
        <f t="shared" si="50"/>
        <v>0.029</v>
      </c>
      <c r="R110" s="132">
        <v>0.153</v>
      </c>
      <c r="S110" s="140">
        <v>113700</v>
      </c>
      <c r="T110" s="269">
        <f t="shared" si="49"/>
        <v>74960.71993860631</v>
      </c>
      <c r="U110" s="189">
        <f t="shared" si="37"/>
        <v>0</v>
      </c>
      <c r="V110" s="144">
        <f t="shared" si="30"/>
        <v>104</v>
      </c>
      <c r="W110" s="184">
        <f t="shared" si="31"/>
        <v>198744.8524765812</v>
      </c>
      <c r="X110" s="184">
        <f t="shared" si="32"/>
        <v>198744.8524765812</v>
      </c>
      <c r="Y110" s="184">
        <f t="shared" si="33"/>
        <v>99372.4262382906</v>
      </c>
    </row>
    <row r="111" spans="2:25" ht="15">
      <c r="B111" s="115">
        <f t="shared" si="47"/>
        <v>2019</v>
      </c>
      <c r="C111" s="116">
        <f t="shared" si="35"/>
        <v>71</v>
      </c>
      <c r="D111" s="51">
        <f t="shared" si="38"/>
        <v>0</v>
      </c>
      <c r="E111" s="51">
        <f t="shared" si="39"/>
        <v>0</v>
      </c>
      <c r="F111" s="52">
        <f t="shared" si="48"/>
        <v>0</v>
      </c>
      <c r="G111" s="52">
        <f t="shared" si="40"/>
        <v>0</v>
      </c>
      <c r="H111" s="118">
        <f t="shared" si="34"/>
        <v>0</v>
      </c>
      <c r="I111" s="117">
        <f t="shared" si="41"/>
        <v>0</v>
      </c>
      <c r="J111" s="117">
        <f t="shared" si="42"/>
        <v>0</v>
      </c>
      <c r="K111" s="117">
        <f t="shared" si="43"/>
        <v>0</v>
      </c>
      <c r="L111" s="52">
        <f t="shared" si="44"/>
        <v>0</v>
      </c>
      <c r="M111" s="52">
        <f t="shared" si="45"/>
        <v>0</v>
      </c>
      <c r="N111" s="132">
        <f t="shared" si="36"/>
        <v>0.05</v>
      </c>
      <c r="O111" s="132">
        <v>0.106</v>
      </c>
      <c r="P111" s="132">
        <v>0.018000000000000002</v>
      </c>
      <c r="Q111" s="119">
        <f t="shared" si="50"/>
        <v>0.029</v>
      </c>
      <c r="R111" s="132">
        <v>0.153</v>
      </c>
      <c r="S111" s="140">
        <v>113700</v>
      </c>
      <c r="T111" s="269">
        <f t="shared" si="49"/>
        <v>79330.92991102707</v>
      </c>
      <c r="U111" s="189">
        <f t="shared" si="37"/>
        <v>0</v>
      </c>
      <c r="V111" s="144">
        <f t="shared" si="30"/>
        <v>105</v>
      </c>
      <c r="W111" s="184">
        <f t="shared" si="31"/>
        <v>200269.18503891904</v>
      </c>
      <c r="X111" s="184">
        <f t="shared" si="32"/>
        <v>200269.18503891904</v>
      </c>
      <c r="Y111" s="184">
        <f t="shared" si="33"/>
        <v>100134.59251945952</v>
      </c>
    </row>
    <row r="112" spans="2:25" ht="15">
      <c r="B112" s="115">
        <f t="shared" si="47"/>
        <v>2020</v>
      </c>
      <c r="C112" s="116">
        <f t="shared" si="35"/>
        <v>72</v>
      </c>
      <c r="D112" s="51">
        <f t="shared" si="38"/>
        <v>0</v>
      </c>
      <c r="E112" s="51">
        <f t="shared" si="39"/>
        <v>0</v>
      </c>
      <c r="F112" s="52">
        <f t="shared" si="48"/>
        <v>0</v>
      </c>
      <c r="G112" s="52">
        <f t="shared" si="40"/>
        <v>0</v>
      </c>
      <c r="H112" s="118">
        <f t="shared" si="34"/>
        <v>0</v>
      </c>
      <c r="I112" s="117">
        <f t="shared" si="41"/>
        <v>0</v>
      </c>
      <c r="J112" s="117">
        <f t="shared" si="42"/>
        <v>0</v>
      </c>
      <c r="K112" s="117">
        <f t="shared" si="43"/>
        <v>0</v>
      </c>
      <c r="L112" s="52">
        <f t="shared" si="44"/>
        <v>0</v>
      </c>
      <c r="M112" s="52">
        <f t="shared" si="45"/>
        <v>0</v>
      </c>
      <c r="N112" s="132">
        <f t="shared" si="36"/>
        <v>0.05</v>
      </c>
      <c r="O112" s="132">
        <v>0.106</v>
      </c>
      <c r="P112" s="132">
        <v>0.018000000000000002</v>
      </c>
      <c r="Q112" s="119">
        <f t="shared" si="50"/>
        <v>0.029</v>
      </c>
      <c r="R112" s="132">
        <v>0.153</v>
      </c>
      <c r="S112" s="140">
        <v>113700</v>
      </c>
      <c r="T112" s="269">
        <f t="shared" si="49"/>
        <v>83955.92312483994</v>
      </c>
      <c r="U112" s="189">
        <f t="shared" si="37"/>
        <v>0</v>
      </c>
      <c r="V112" s="144">
        <f t="shared" si="30"/>
        <v>106</v>
      </c>
      <c r="W112" s="184">
        <f t="shared" si="31"/>
        <v>201787.19256987787</v>
      </c>
      <c r="X112" s="184">
        <f t="shared" si="32"/>
        <v>201787.19256987787</v>
      </c>
      <c r="Y112" s="184">
        <f t="shared" si="33"/>
        <v>100893.59628493893</v>
      </c>
    </row>
    <row r="113" spans="2:25" ht="15">
      <c r="B113" s="115">
        <f t="shared" si="47"/>
        <v>2021</v>
      </c>
      <c r="C113" s="116">
        <f t="shared" si="35"/>
        <v>73</v>
      </c>
      <c r="D113" s="51">
        <f t="shared" si="38"/>
        <v>0</v>
      </c>
      <c r="E113" s="51">
        <f t="shared" si="39"/>
        <v>0</v>
      </c>
      <c r="F113" s="52">
        <f t="shared" si="48"/>
        <v>0</v>
      </c>
      <c r="G113" s="52">
        <f t="shared" si="40"/>
        <v>0</v>
      </c>
      <c r="H113" s="118">
        <f t="shared" si="34"/>
        <v>0</v>
      </c>
      <c r="I113" s="117">
        <f t="shared" si="41"/>
        <v>0</v>
      </c>
      <c r="J113" s="117">
        <f t="shared" si="42"/>
        <v>0</v>
      </c>
      <c r="K113" s="117">
        <f t="shared" si="43"/>
        <v>0</v>
      </c>
      <c r="L113" s="52">
        <f t="shared" si="44"/>
        <v>0</v>
      </c>
      <c r="M113" s="52">
        <f t="shared" si="45"/>
        <v>0</v>
      </c>
      <c r="N113" s="132">
        <f t="shared" si="36"/>
        <v>0.05</v>
      </c>
      <c r="O113" s="132">
        <v>0.106</v>
      </c>
      <c r="P113" s="132">
        <v>0.018000000000000002</v>
      </c>
      <c r="Q113" s="119">
        <f t="shared" si="50"/>
        <v>0.029</v>
      </c>
      <c r="R113" s="132">
        <v>0.153</v>
      </c>
      <c r="S113" s="140">
        <v>113700</v>
      </c>
      <c r="T113" s="269">
        <f t="shared" si="49"/>
        <v>88850.55344301811</v>
      </c>
      <c r="U113" s="189">
        <f t="shared" si="37"/>
        <v>0</v>
      </c>
      <c r="V113" s="144">
        <f t="shared" si="30"/>
        <v>107</v>
      </c>
      <c r="W113" s="184">
        <f t="shared" si="31"/>
        <v>203298.90131440118</v>
      </c>
      <c r="X113" s="184">
        <f t="shared" si="32"/>
        <v>203298.90131440118</v>
      </c>
      <c r="Y113" s="184">
        <f t="shared" si="33"/>
        <v>101649.45065720059</v>
      </c>
    </row>
    <row r="114" spans="2:25" ht="15">
      <c r="B114" s="115">
        <f t="shared" si="47"/>
        <v>2022</v>
      </c>
      <c r="C114" s="116">
        <f t="shared" si="35"/>
        <v>74</v>
      </c>
      <c r="D114" s="51">
        <f t="shared" si="38"/>
        <v>0</v>
      </c>
      <c r="E114" s="51">
        <f t="shared" si="39"/>
        <v>0</v>
      </c>
      <c r="F114" s="52">
        <f t="shared" si="48"/>
        <v>0</v>
      </c>
      <c r="G114" s="52">
        <f t="shared" si="40"/>
        <v>0</v>
      </c>
      <c r="H114" s="118">
        <f t="shared" si="34"/>
        <v>0</v>
      </c>
      <c r="I114" s="117">
        <f t="shared" si="41"/>
        <v>0</v>
      </c>
      <c r="J114" s="117">
        <f t="shared" si="42"/>
        <v>0</v>
      </c>
      <c r="K114" s="117">
        <f t="shared" si="43"/>
        <v>0</v>
      </c>
      <c r="L114" s="52">
        <f t="shared" si="44"/>
        <v>0</v>
      </c>
      <c r="M114" s="52">
        <f t="shared" si="45"/>
        <v>0</v>
      </c>
      <c r="N114" s="132">
        <f t="shared" si="36"/>
        <v>0.05</v>
      </c>
      <c r="O114" s="132">
        <v>0.106</v>
      </c>
      <c r="P114" s="132">
        <v>0.018000000000000002</v>
      </c>
      <c r="Q114" s="119">
        <f t="shared" si="50"/>
        <v>0.029</v>
      </c>
      <c r="R114" s="132">
        <v>0.153</v>
      </c>
      <c r="S114" s="140">
        <v>113700</v>
      </c>
      <c r="T114" s="269">
        <f t="shared" si="49"/>
        <v>94030.54070874608</v>
      </c>
      <c r="U114" s="189">
        <f t="shared" si="37"/>
        <v>0</v>
      </c>
      <c r="V114" s="144">
        <f t="shared" si="30"/>
        <v>108</v>
      </c>
      <c r="W114" s="184">
        <f t="shared" si="31"/>
        <v>204804.3374085323</v>
      </c>
      <c r="X114" s="184">
        <f t="shared" si="32"/>
        <v>204804.3374085323</v>
      </c>
      <c r="Y114" s="184">
        <f t="shared" si="33"/>
        <v>102402.16870426615</v>
      </c>
    </row>
    <row r="115" spans="2:25" ht="15">
      <c r="B115" s="115">
        <f t="shared" si="47"/>
        <v>2023</v>
      </c>
      <c r="C115" s="116">
        <f t="shared" si="35"/>
        <v>75</v>
      </c>
      <c r="D115" s="51">
        <f t="shared" si="38"/>
        <v>0</v>
      </c>
      <c r="E115" s="51">
        <f t="shared" si="39"/>
        <v>0</v>
      </c>
      <c r="F115" s="52">
        <f t="shared" si="48"/>
        <v>0</v>
      </c>
      <c r="G115" s="52">
        <f t="shared" si="40"/>
        <v>0</v>
      </c>
      <c r="H115" s="118">
        <f t="shared" si="34"/>
        <v>0</v>
      </c>
      <c r="I115" s="117">
        <f t="shared" si="41"/>
        <v>0</v>
      </c>
      <c r="J115" s="117">
        <f t="shared" si="42"/>
        <v>0</v>
      </c>
      <c r="K115" s="117">
        <f t="shared" si="43"/>
        <v>0</v>
      </c>
      <c r="L115" s="52">
        <f t="shared" si="44"/>
        <v>0</v>
      </c>
      <c r="M115" s="52">
        <f t="shared" si="45"/>
        <v>0</v>
      </c>
      <c r="N115" s="132">
        <f t="shared" si="36"/>
        <v>0.05</v>
      </c>
      <c r="O115" s="132">
        <v>0.106</v>
      </c>
      <c r="P115" s="132">
        <v>0.018000000000000002</v>
      </c>
      <c r="Q115" s="119">
        <f t="shared" si="50"/>
        <v>0.029</v>
      </c>
      <c r="R115" s="132">
        <v>0.153</v>
      </c>
      <c r="S115" s="140">
        <v>113700</v>
      </c>
      <c r="T115" s="269">
        <f t="shared" si="49"/>
        <v>99512.52123206598</v>
      </c>
      <c r="U115" s="189">
        <f t="shared" si="37"/>
        <v>0</v>
      </c>
      <c r="V115" s="144">
        <f t="shared" si="30"/>
        <v>109</v>
      </c>
      <c r="W115" s="184">
        <f t="shared" si="31"/>
        <v>206303.5268798662</v>
      </c>
      <c r="X115" s="184">
        <f t="shared" si="32"/>
        <v>206303.5268798662</v>
      </c>
      <c r="Y115" s="184">
        <f t="shared" si="33"/>
        <v>103151.7634399331</v>
      </c>
    </row>
    <row r="116" spans="2:25" ht="15">
      <c r="B116" s="115">
        <f t="shared" si="47"/>
        <v>2024</v>
      </c>
      <c r="C116" s="116">
        <f t="shared" si="35"/>
        <v>76</v>
      </c>
      <c r="D116" s="51">
        <f t="shared" si="38"/>
        <v>0</v>
      </c>
      <c r="E116" s="51">
        <f t="shared" si="39"/>
        <v>0</v>
      </c>
      <c r="F116" s="52">
        <f t="shared" si="48"/>
        <v>0</v>
      </c>
      <c r="G116" s="52">
        <f t="shared" si="40"/>
        <v>0</v>
      </c>
      <c r="H116" s="118">
        <f t="shared" si="34"/>
        <v>0</v>
      </c>
      <c r="I116" s="117">
        <f t="shared" si="41"/>
        <v>0</v>
      </c>
      <c r="J116" s="117">
        <f t="shared" si="42"/>
        <v>0</v>
      </c>
      <c r="K116" s="117">
        <f t="shared" si="43"/>
        <v>0</v>
      </c>
      <c r="L116" s="52">
        <f t="shared" si="44"/>
        <v>0</v>
      </c>
      <c r="M116" s="52">
        <f t="shared" si="45"/>
        <v>0</v>
      </c>
      <c r="N116" s="132">
        <f t="shared" si="36"/>
        <v>0.05</v>
      </c>
      <c r="O116" s="132">
        <v>0.106</v>
      </c>
      <c r="P116" s="132">
        <v>0.018000000000000002</v>
      </c>
      <c r="Q116" s="119">
        <f t="shared" si="50"/>
        <v>0.029</v>
      </c>
      <c r="R116" s="132">
        <v>0.153</v>
      </c>
      <c r="S116" s="140">
        <v>113700</v>
      </c>
      <c r="T116" s="269">
        <f t="shared" si="49"/>
        <v>105314.10121989543</v>
      </c>
      <c r="U116" s="189">
        <f t="shared" si="37"/>
        <v>0</v>
      </c>
      <c r="V116" s="144">
        <f t="shared" si="30"/>
        <v>110</v>
      </c>
      <c r="W116" s="184">
        <f t="shared" si="31"/>
        <v>207796.49564799955</v>
      </c>
      <c r="X116" s="184">
        <f t="shared" si="32"/>
        <v>207796.49564799955</v>
      </c>
      <c r="Y116" s="184">
        <f t="shared" si="33"/>
        <v>103898.24782399977</v>
      </c>
    </row>
    <row r="117" spans="2:25" ht="15">
      <c r="B117" s="115">
        <f t="shared" si="47"/>
        <v>2025</v>
      </c>
      <c r="C117" s="116">
        <f t="shared" si="35"/>
        <v>77</v>
      </c>
      <c r="D117" s="51">
        <f t="shared" si="38"/>
        <v>0</v>
      </c>
      <c r="E117" s="51">
        <f t="shared" si="39"/>
        <v>0</v>
      </c>
      <c r="F117" s="52">
        <f t="shared" si="48"/>
        <v>0</v>
      </c>
      <c r="G117" s="52">
        <f t="shared" si="40"/>
        <v>0</v>
      </c>
      <c r="H117" s="118">
        <f t="shared" si="34"/>
        <v>0</v>
      </c>
      <c r="I117" s="117">
        <f t="shared" si="41"/>
        <v>0</v>
      </c>
      <c r="J117" s="117">
        <f t="shared" si="42"/>
        <v>0</v>
      </c>
      <c r="K117" s="117">
        <f t="shared" si="43"/>
        <v>0</v>
      </c>
      <c r="L117" s="52">
        <f t="shared" si="44"/>
        <v>0</v>
      </c>
      <c r="M117" s="52">
        <f t="shared" si="45"/>
        <v>0</v>
      </c>
      <c r="N117" s="132">
        <f t="shared" si="36"/>
        <v>0.05</v>
      </c>
      <c r="O117" s="132">
        <v>0.106</v>
      </c>
      <c r="P117" s="132">
        <v>0.018000000000000002</v>
      </c>
      <c r="Q117" s="119">
        <f t="shared" si="50"/>
        <v>0.029</v>
      </c>
      <c r="R117" s="132">
        <v>0.153</v>
      </c>
      <c r="S117" s="140">
        <v>113700</v>
      </c>
      <c r="T117" s="269">
        <f t="shared" si="49"/>
        <v>111453.91332101534</v>
      </c>
      <c r="U117" s="189">
        <f t="shared" si="37"/>
        <v>0</v>
      </c>
      <c r="V117" s="144">
        <f t="shared" si="30"/>
        <v>111</v>
      </c>
      <c r="W117" s="184">
        <f t="shared" si="31"/>
        <v>209283.2695249788</v>
      </c>
      <c r="X117" s="184">
        <f t="shared" si="32"/>
        <v>209283.2695249788</v>
      </c>
      <c r="Y117" s="184">
        <f t="shared" si="33"/>
        <v>104641.6347624894</v>
      </c>
    </row>
    <row r="118" spans="2:25" ht="15">
      <c r="B118" s="115">
        <f t="shared" si="47"/>
        <v>2026</v>
      </c>
      <c r="C118" s="116">
        <f t="shared" si="35"/>
        <v>78</v>
      </c>
      <c r="D118" s="51">
        <f t="shared" si="38"/>
        <v>0</v>
      </c>
      <c r="E118" s="51">
        <f t="shared" si="39"/>
        <v>0</v>
      </c>
      <c r="F118" s="52">
        <f t="shared" si="48"/>
        <v>0</v>
      </c>
      <c r="G118" s="52">
        <f t="shared" si="40"/>
        <v>0</v>
      </c>
      <c r="H118" s="118">
        <f aca="true" t="shared" si="51" ref="H118:H149">$U118*(($Q118*$D118)+H117)</f>
        <v>0</v>
      </c>
      <c r="I118" s="117">
        <f t="shared" si="41"/>
        <v>0</v>
      </c>
      <c r="J118" s="117">
        <f t="shared" si="42"/>
        <v>0</v>
      </c>
      <c r="K118" s="117">
        <f t="shared" si="43"/>
        <v>0</v>
      </c>
      <c r="L118" s="52">
        <f t="shared" si="44"/>
        <v>0</v>
      </c>
      <c r="M118" s="52">
        <f t="shared" si="45"/>
        <v>0</v>
      </c>
      <c r="N118" s="132">
        <f t="shared" si="36"/>
        <v>0.05</v>
      </c>
      <c r="O118" s="132">
        <v>0.106</v>
      </c>
      <c r="P118" s="132">
        <v>0.018000000000000002</v>
      </c>
      <c r="Q118" s="119">
        <f t="shared" si="50"/>
        <v>0.029</v>
      </c>
      <c r="R118" s="132">
        <v>0.153</v>
      </c>
      <c r="S118" s="140">
        <v>113700</v>
      </c>
      <c r="T118" s="269">
        <f t="shared" si="49"/>
        <v>117951.67646763053</v>
      </c>
      <c r="U118" s="189">
        <f t="shared" si="37"/>
        <v>0</v>
      </c>
      <c r="V118" s="144">
        <f t="shared" si="30"/>
        <v>112</v>
      </c>
      <c r="W118" s="184">
        <f t="shared" si="31"/>
        <v>210763.8742157465</v>
      </c>
      <c r="X118" s="184">
        <f t="shared" si="32"/>
        <v>210763.8742157465</v>
      </c>
      <c r="Y118" s="184">
        <f t="shared" si="33"/>
        <v>105381.93710787325</v>
      </c>
    </row>
    <row r="119" spans="2:25" ht="15">
      <c r="B119" s="115">
        <f t="shared" si="47"/>
        <v>2027</v>
      </c>
      <c r="C119" s="116">
        <f t="shared" si="35"/>
        <v>79</v>
      </c>
      <c r="D119" s="51">
        <f t="shared" si="38"/>
        <v>0</v>
      </c>
      <c r="E119" s="51">
        <f t="shared" si="39"/>
        <v>0</v>
      </c>
      <c r="F119" s="52">
        <f t="shared" si="48"/>
        <v>0</v>
      </c>
      <c r="G119" s="52">
        <f t="shared" si="40"/>
        <v>0</v>
      </c>
      <c r="H119" s="118">
        <f t="shared" si="51"/>
        <v>0</v>
      </c>
      <c r="I119" s="117">
        <f t="shared" si="41"/>
        <v>0</v>
      </c>
      <c r="J119" s="117">
        <f t="shared" si="42"/>
        <v>0</v>
      </c>
      <c r="K119" s="117">
        <f t="shared" si="43"/>
        <v>0</v>
      </c>
      <c r="L119" s="52">
        <f t="shared" si="44"/>
        <v>0</v>
      </c>
      <c r="M119" s="52">
        <f t="shared" si="45"/>
        <v>0</v>
      </c>
      <c r="N119" s="132">
        <f t="shared" si="36"/>
        <v>0.05</v>
      </c>
      <c r="O119" s="132">
        <v>0.106</v>
      </c>
      <c r="P119" s="132">
        <v>0.018000000000000002</v>
      </c>
      <c r="Q119" s="119">
        <f t="shared" si="50"/>
        <v>0.029</v>
      </c>
      <c r="R119" s="132">
        <v>0.153</v>
      </c>
      <c r="S119" s="140">
        <v>113700</v>
      </c>
      <c r="T119" s="269">
        <f t="shared" si="49"/>
        <v>124828.2592056934</v>
      </c>
      <c r="U119" s="189">
        <f t="shared" si="37"/>
        <v>0</v>
      </c>
      <c r="V119" s="144">
        <f t="shared" si="30"/>
        <v>113</v>
      </c>
      <c r="W119" s="184">
        <f t="shared" si="31"/>
        <v>212238.3353185857</v>
      </c>
      <c r="X119" s="184">
        <f t="shared" si="32"/>
        <v>212238.3353185857</v>
      </c>
      <c r="Y119" s="184">
        <f t="shared" si="33"/>
        <v>106119.16765929286</v>
      </c>
    </row>
    <row r="120" spans="2:25" ht="15">
      <c r="B120" s="115">
        <f t="shared" si="47"/>
        <v>2028</v>
      </c>
      <c r="C120" s="116">
        <f t="shared" si="35"/>
        <v>80</v>
      </c>
      <c r="D120" s="51">
        <f t="shared" si="38"/>
        <v>0</v>
      </c>
      <c r="E120" s="51">
        <f t="shared" si="39"/>
        <v>0</v>
      </c>
      <c r="F120" s="52">
        <f t="shared" si="48"/>
        <v>0</v>
      </c>
      <c r="G120" s="52">
        <f t="shared" si="40"/>
        <v>0</v>
      </c>
      <c r="H120" s="118">
        <f t="shared" si="51"/>
        <v>0</v>
      </c>
      <c r="I120" s="117">
        <f t="shared" si="41"/>
        <v>0</v>
      </c>
      <c r="J120" s="117">
        <f t="shared" si="42"/>
        <v>0</v>
      </c>
      <c r="K120" s="117">
        <f t="shared" si="43"/>
        <v>0</v>
      </c>
      <c r="L120" s="52">
        <f t="shared" si="44"/>
        <v>0</v>
      </c>
      <c r="M120" s="52">
        <f t="shared" si="45"/>
        <v>0</v>
      </c>
      <c r="N120" s="132">
        <f t="shared" si="36"/>
        <v>0.05</v>
      </c>
      <c r="O120" s="132">
        <v>0.106</v>
      </c>
      <c r="P120" s="132">
        <v>0.018000000000000002</v>
      </c>
      <c r="Q120" s="119">
        <f t="shared" si="50"/>
        <v>0.029</v>
      </c>
      <c r="R120" s="132">
        <v>0.153</v>
      </c>
      <c r="S120" s="140">
        <v>113700</v>
      </c>
      <c r="T120" s="269">
        <f t="shared" si="49"/>
        <v>132105.7467173853</v>
      </c>
      <c r="U120" s="189">
        <f t="shared" si="37"/>
        <v>0</v>
      </c>
      <c r="V120" s="144">
        <f t="shared" si="30"/>
        <v>114</v>
      </c>
      <c r="W120" s="184">
        <f t="shared" si="31"/>
        <v>213706.67832556253</v>
      </c>
      <c r="X120" s="184">
        <f t="shared" si="32"/>
        <v>213706.67832556253</v>
      </c>
      <c r="Y120" s="184">
        <f t="shared" si="33"/>
        <v>106853.33916278127</v>
      </c>
    </row>
    <row r="121" spans="2:25" ht="15">
      <c r="B121" s="115">
        <f t="shared" si="47"/>
        <v>2029</v>
      </c>
      <c r="C121" s="116">
        <f t="shared" si="35"/>
        <v>81</v>
      </c>
      <c r="D121" s="51">
        <f t="shared" si="38"/>
        <v>0</v>
      </c>
      <c r="E121" s="51">
        <f t="shared" si="39"/>
        <v>0</v>
      </c>
      <c r="F121" s="52">
        <f t="shared" si="48"/>
        <v>0</v>
      </c>
      <c r="G121" s="52">
        <f t="shared" si="40"/>
        <v>0</v>
      </c>
      <c r="H121" s="118">
        <f t="shared" si="51"/>
        <v>0</v>
      </c>
      <c r="I121" s="117">
        <f t="shared" si="41"/>
        <v>0</v>
      </c>
      <c r="J121" s="117">
        <f t="shared" si="42"/>
        <v>0</v>
      </c>
      <c r="K121" s="117">
        <f t="shared" si="43"/>
        <v>0</v>
      </c>
      <c r="L121" s="52">
        <f t="shared" si="44"/>
        <v>0</v>
      </c>
      <c r="M121" s="52">
        <f t="shared" si="45"/>
        <v>0</v>
      </c>
      <c r="N121" s="132">
        <f t="shared" si="36"/>
        <v>0.05</v>
      </c>
      <c r="O121" s="132">
        <v>0.106</v>
      </c>
      <c r="P121" s="132">
        <v>0.018000000000000002</v>
      </c>
      <c r="Q121" s="119">
        <f t="shared" si="50"/>
        <v>0.029</v>
      </c>
      <c r="R121" s="132">
        <v>0.153</v>
      </c>
      <c r="S121" s="140">
        <v>113700</v>
      </c>
      <c r="T121" s="269">
        <f t="shared" si="49"/>
        <v>139807.51175100886</v>
      </c>
      <c r="U121" s="189">
        <f t="shared" si="37"/>
        <v>0</v>
      </c>
      <c r="V121" s="144">
        <f t="shared" si="30"/>
        <v>115</v>
      </c>
      <c r="W121" s="184">
        <f t="shared" si="31"/>
        <v>215168.92862296684</v>
      </c>
      <c r="X121" s="184">
        <f t="shared" si="32"/>
        <v>215168.92862296684</v>
      </c>
      <c r="Y121" s="184">
        <f t="shared" si="33"/>
        <v>107584.46431148342</v>
      </c>
    </row>
    <row r="122" spans="2:25" ht="15">
      <c r="B122" s="115">
        <f t="shared" si="47"/>
        <v>2030</v>
      </c>
      <c r="C122" s="116">
        <f t="shared" si="35"/>
        <v>82</v>
      </c>
      <c r="D122" s="51">
        <f t="shared" si="38"/>
        <v>0</v>
      </c>
      <c r="E122" s="51">
        <f t="shared" si="39"/>
        <v>0</v>
      </c>
      <c r="F122" s="52">
        <f t="shared" si="48"/>
        <v>0</v>
      </c>
      <c r="G122" s="52">
        <f t="shared" si="40"/>
        <v>0</v>
      </c>
      <c r="H122" s="118">
        <f t="shared" si="51"/>
        <v>0</v>
      </c>
      <c r="I122" s="117">
        <f t="shared" si="41"/>
        <v>0</v>
      </c>
      <c r="J122" s="117">
        <f t="shared" si="42"/>
        <v>0</v>
      </c>
      <c r="K122" s="117">
        <f t="shared" si="43"/>
        <v>0</v>
      </c>
      <c r="L122" s="52">
        <f t="shared" si="44"/>
        <v>0</v>
      </c>
      <c r="M122" s="52">
        <f t="shared" si="45"/>
        <v>0</v>
      </c>
      <c r="N122" s="132">
        <f t="shared" si="36"/>
        <v>0.05</v>
      </c>
      <c r="O122" s="132">
        <v>0.106</v>
      </c>
      <c r="P122" s="132">
        <v>0.018000000000000002</v>
      </c>
      <c r="Q122" s="119">
        <f t="shared" si="50"/>
        <v>0.029</v>
      </c>
      <c r="R122" s="132">
        <v>0.153</v>
      </c>
      <c r="S122" s="140">
        <v>113700</v>
      </c>
      <c r="T122" s="269">
        <f t="shared" si="49"/>
        <v>147958.28968609267</v>
      </c>
      <c r="U122" s="189">
        <f t="shared" si="37"/>
        <v>0</v>
      </c>
      <c r="V122" s="144">
        <f t="shared" si="30"/>
        <v>116</v>
      </c>
      <c r="W122" s="184">
        <f t="shared" si="31"/>
        <v>216625.11149175122</v>
      </c>
      <c r="X122" s="184">
        <f t="shared" si="32"/>
        <v>216625.11149175122</v>
      </c>
      <c r="Y122" s="184">
        <f t="shared" si="33"/>
        <v>108312.55574587561</v>
      </c>
    </row>
    <row r="123" spans="2:25" ht="15">
      <c r="B123" s="115">
        <f t="shared" si="47"/>
        <v>2031</v>
      </c>
      <c r="C123" s="116">
        <f t="shared" si="35"/>
        <v>83</v>
      </c>
      <c r="D123" s="51">
        <f t="shared" si="38"/>
        <v>0</v>
      </c>
      <c r="E123" s="51">
        <f t="shared" si="39"/>
        <v>0</v>
      </c>
      <c r="F123" s="52">
        <f t="shared" si="48"/>
        <v>0</v>
      </c>
      <c r="G123" s="52">
        <f t="shared" si="40"/>
        <v>0</v>
      </c>
      <c r="H123" s="118">
        <f t="shared" si="51"/>
        <v>0</v>
      </c>
      <c r="I123" s="117">
        <f t="shared" si="41"/>
        <v>0</v>
      </c>
      <c r="J123" s="117">
        <f t="shared" si="42"/>
        <v>0</v>
      </c>
      <c r="K123" s="117">
        <f t="shared" si="43"/>
        <v>0</v>
      </c>
      <c r="L123" s="52">
        <f t="shared" si="44"/>
        <v>0</v>
      </c>
      <c r="M123" s="52">
        <f t="shared" si="45"/>
        <v>0</v>
      </c>
      <c r="N123" s="132">
        <f t="shared" si="36"/>
        <v>0.05</v>
      </c>
      <c r="O123" s="132">
        <v>0.106</v>
      </c>
      <c r="P123" s="132">
        <v>0.018000000000000002</v>
      </c>
      <c r="Q123" s="119">
        <f t="shared" si="50"/>
        <v>0.029</v>
      </c>
      <c r="R123" s="132">
        <v>0.153</v>
      </c>
      <c r="S123" s="140">
        <v>113700</v>
      </c>
      <c r="T123" s="269">
        <f t="shared" si="49"/>
        <v>156584.25797479186</v>
      </c>
      <c r="U123" s="189">
        <f t="shared" si="37"/>
        <v>0</v>
      </c>
      <c r="V123" s="144">
        <f t="shared" si="30"/>
        <v>117</v>
      </c>
      <c r="W123" s="184">
        <f t="shared" si="31"/>
        <v>218075.252107968</v>
      </c>
      <c r="X123" s="184">
        <f t="shared" si="32"/>
        <v>218075.252107968</v>
      </c>
      <c r="Y123" s="184">
        <f t="shared" si="33"/>
        <v>109037.626053984</v>
      </c>
    </row>
    <row r="124" spans="2:25" ht="15">
      <c r="B124" s="115">
        <f t="shared" si="47"/>
        <v>2032</v>
      </c>
      <c r="C124" s="116">
        <f t="shared" si="35"/>
        <v>84</v>
      </c>
      <c r="D124" s="51">
        <f t="shared" si="38"/>
        <v>0</v>
      </c>
      <c r="E124" s="51">
        <f t="shared" si="39"/>
        <v>0</v>
      </c>
      <c r="F124" s="52">
        <f t="shared" si="48"/>
        <v>0</v>
      </c>
      <c r="G124" s="52">
        <f t="shared" si="40"/>
        <v>0</v>
      </c>
      <c r="H124" s="118">
        <f t="shared" si="51"/>
        <v>0</v>
      </c>
      <c r="I124" s="117">
        <f t="shared" si="41"/>
        <v>0</v>
      </c>
      <c r="J124" s="117">
        <f t="shared" si="42"/>
        <v>0</v>
      </c>
      <c r="K124" s="117">
        <f t="shared" si="43"/>
        <v>0</v>
      </c>
      <c r="L124" s="52">
        <f t="shared" si="44"/>
        <v>0</v>
      </c>
      <c r="M124" s="52">
        <f t="shared" si="45"/>
        <v>0</v>
      </c>
      <c r="N124" s="132">
        <f t="shared" si="36"/>
        <v>0.05</v>
      </c>
      <c r="O124" s="132">
        <v>0.106</v>
      </c>
      <c r="P124" s="132">
        <v>0.018000000000000002</v>
      </c>
      <c r="Q124" s="119">
        <f t="shared" si="50"/>
        <v>0.029</v>
      </c>
      <c r="R124" s="132">
        <v>0.153</v>
      </c>
      <c r="S124" s="140">
        <v>113700</v>
      </c>
      <c r="T124" s="269">
        <f t="shared" si="49"/>
        <v>165713.12021472224</v>
      </c>
      <c r="U124" s="189">
        <f t="shared" si="37"/>
        <v>0</v>
      </c>
      <c r="V124" s="144">
        <f t="shared" si="30"/>
        <v>118</v>
      </c>
      <c r="W124" s="184">
        <f t="shared" si="31"/>
        <v>219519.37554320463</v>
      </c>
      <c r="X124" s="184">
        <f t="shared" si="32"/>
        <v>219519.37554320463</v>
      </c>
      <c r="Y124" s="184">
        <f t="shared" si="33"/>
        <v>109759.68777160232</v>
      </c>
    </row>
    <row r="125" spans="2:25" ht="15">
      <c r="B125" s="115">
        <f t="shared" si="47"/>
        <v>2033</v>
      </c>
      <c r="C125" s="116">
        <f aca="true" t="shared" si="52" ref="C125:C156">IF(($B125-$F$15)&gt;0,($B125-$F$15),0)</f>
        <v>85</v>
      </c>
      <c r="D125" s="51">
        <f t="shared" si="38"/>
        <v>0</v>
      </c>
      <c r="E125" s="51">
        <f t="shared" si="39"/>
        <v>0</v>
      </c>
      <c r="F125" s="52">
        <f t="shared" si="48"/>
        <v>0</v>
      </c>
      <c r="G125" s="52">
        <f t="shared" si="40"/>
        <v>0</v>
      </c>
      <c r="H125" s="118">
        <f t="shared" si="51"/>
        <v>0</v>
      </c>
      <c r="I125" s="117">
        <f t="shared" si="41"/>
        <v>0</v>
      </c>
      <c r="J125" s="117">
        <f t="shared" si="42"/>
        <v>0</v>
      </c>
      <c r="K125" s="117">
        <f t="shared" si="43"/>
        <v>0</v>
      </c>
      <c r="L125" s="52">
        <f t="shared" si="44"/>
        <v>0</v>
      </c>
      <c r="M125" s="52">
        <f t="shared" si="45"/>
        <v>0</v>
      </c>
      <c r="N125" s="132">
        <f aca="true" t="shared" si="53" ref="N125:N156">$F$20</f>
        <v>0.05</v>
      </c>
      <c r="O125" s="132">
        <v>0.106</v>
      </c>
      <c r="P125" s="132">
        <v>0.018000000000000002</v>
      </c>
      <c r="Q125" s="119">
        <f t="shared" si="50"/>
        <v>0.029</v>
      </c>
      <c r="R125" s="132">
        <v>0.153</v>
      </c>
      <c r="S125" s="140">
        <v>113700</v>
      </c>
      <c r="T125" s="269">
        <f t="shared" si="49"/>
        <v>175374.19512324056</v>
      </c>
      <c r="U125" s="189">
        <f aca="true" t="shared" si="54" ref="U125:U156">IF((B125&lt;($F$16+$F$17)),1,0)*IF((B125&gt;($F$16-1)),1,0)</f>
        <v>0</v>
      </c>
      <c r="V125" s="144">
        <f t="shared" si="30"/>
        <v>119</v>
      </c>
      <c r="W125" s="184">
        <f t="shared" si="31"/>
        <v>220957.50676501705</v>
      </c>
      <c r="X125" s="184">
        <f t="shared" si="32"/>
        <v>220957.50676501705</v>
      </c>
      <c r="Y125" s="184">
        <f t="shared" si="33"/>
        <v>110478.75338250853</v>
      </c>
    </row>
    <row r="126" spans="2:25" ht="15">
      <c r="B126" s="115">
        <f t="shared" si="47"/>
        <v>2034</v>
      </c>
      <c r="C126" s="116">
        <f t="shared" si="52"/>
        <v>86</v>
      </c>
      <c r="D126" s="51">
        <f aca="true" t="shared" si="55" ref="D126:D157">$U126*IF($B126&lt;$F$16+1,IF(3=$H$18,$S126,$F$18),IF(1=$H$18,$D125*(1+($T126-$T125)/$T125),IF(2=$H$18,$D125*(1+$F$19),$S126)))</f>
        <v>0</v>
      </c>
      <c r="E126" s="51">
        <f aca="true" t="shared" si="56" ref="E126:E157">$U126*IF(B126&gt;$F$16,E125+D126,D126)</f>
        <v>0</v>
      </c>
      <c r="F126" s="52">
        <f t="shared" si="48"/>
        <v>0</v>
      </c>
      <c r="G126" s="52">
        <f aca="true" t="shared" si="57" ref="G126:G157">$U126*(IF($S126&gt;$D126,($P126*$D126),($P126*$S126))+G125)</f>
        <v>0</v>
      </c>
      <c r="H126" s="118">
        <f t="shared" si="51"/>
        <v>0</v>
      </c>
      <c r="I126" s="117">
        <f aca="true" t="shared" si="58" ref="I126:I157">$U126*(IF($S126&gt;$D126,(($O126*$D126*$N126/2)+$O126*$D126)+I125*$N126,(($O126*$S126*$N126/2)+$O126*$S126)+I125*$N126)+I125)</f>
        <v>0</v>
      </c>
      <c r="J126" s="117">
        <f aca="true" t="shared" si="59" ref="J126:J157">$U126*(IF($S126&gt;$D126,(($P126*$D126*$F$20/2)+((J125)*$F$20)+$P126*$D126),(($P126*$S126*$F$20/2)+$P126*$S126)+((+J125)*$F$20))+J125)</f>
        <v>0</v>
      </c>
      <c r="K126" s="117">
        <f aca="true" t="shared" si="60" ref="K126:K157">$U126*(IF(OR($S126&gt;$D126,$B126&gt;1963),(($Q126*$D126*$F$20/2)+((K125)*$F$20)+$Q126*$D126),(($Q126*$S126*$F$20/2)+$Q126*$S126)+((+K125)*$F$20))+K125)</f>
        <v>0</v>
      </c>
      <c r="L126" s="52">
        <f t="shared" si="44"/>
        <v>0</v>
      </c>
      <c r="M126" s="52">
        <f t="shared" si="45"/>
        <v>0</v>
      </c>
      <c r="N126" s="132">
        <f t="shared" si="53"/>
        <v>0.05</v>
      </c>
      <c r="O126" s="132">
        <v>0.106</v>
      </c>
      <c r="P126" s="132">
        <v>0.018000000000000002</v>
      </c>
      <c r="Q126" s="119">
        <f t="shared" si="50"/>
        <v>0.029</v>
      </c>
      <c r="R126" s="132">
        <v>0.153</v>
      </c>
      <c r="S126" s="140">
        <v>113700</v>
      </c>
      <c r="T126" s="269">
        <f t="shared" si="49"/>
        <v>185598.51069892547</v>
      </c>
      <c r="U126" s="189">
        <f t="shared" si="54"/>
        <v>0</v>
      </c>
      <c r="V126" s="144">
        <f t="shared" si="30"/>
        <v>120</v>
      </c>
      <c r="W126" s="184">
        <f t="shared" si="31"/>
        <v>222389.67063736139</v>
      </c>
      <c r="X126" s="184">
        <f t="shared" si="32"/>
        <v>222389.67063736139</v>
      </c>
      <c r="Y126" s="184">
        <f t="shared" si="33"/>
        <v>111194.83531868069</v>
      </c>
    </row>
    <row r="127" spans="2:25" ht="15">
      <c r="B127" s="115">
        <f t="shared" si="47"/>
        <v>2035</v>
      </c>
      <c r="C127" s="116">
        <f t="shared" si="52"/>
        <v>87</v>
      </c>
      <c r="D127" s="51">
        <f t="shared" si="55"/>
        <v>0</v>
      </c>
      <c r="E127" s="51">
        <f t="shared" si="56"/>
        <v>0</v>
      </c>
      <c r="F127" s="52">
        <f aca="true" t="shared" si="61" ref="F127:F158">$U127*(IF($S127&gt;$D127,($O127*$D127),($O127*$S127))+F126)</f>
        <v>0</v>
      </c>
      <c r="G127" s="52">
        <f t="shared" si="57"/>
        <v>0</v>
      </c>
      <c r="H127" s="118">
        <f t="shared" si="51"/>
        <v>0</v>
      </c>
      <c r="I127" s="117">
        <f t="shared" si="58"/>
        <v>0</v>
      </c>
      <c r="J127" s="117">
        <f t="shared" si="59"/>
        <v>0</v>
      </c>
      <c r="K127" s="117">
        <f t="shared" si="60"/>
        <v>0</v>
      </c>
      <c r="L127" s="52">
        <f t="shared" si="44"/>
        <v>0</v>
      </c>
      <c r="M127" s="52">
        <f t="shared" si="45"/>
        <v>0</v>
      </c>
      <c r="N127" s="132">
        <f t="shared" si="53"/>
        <v>0.05</v>
      </c>
      <c r="O127" s="132">
        <v>0.106</v>
      </c>
      <c r="P127" s="132">
        <v>0.018000000000000002</v>
      </c>
      <c r="Q127" s="119">
        <f t="shared" si="50"/>
        <v>0.029</v>
      </c>
      <c r="R127" s="132">
        <v>0.153</v>
      </c>
      <c r="S127" s="140">
        <v>113700</v>
      </c>
      <c r="T127" s="269">
        <f t="shared" si="49"/>
        <v>196418.90387267282</v>
      </c>
      <c r="U127" s="189">
        <f t="shared" si="54"/>
        <v>0</v>
      </c>
      <c r="V127" s="144">
        <f t="shared" si="30"/>
        <v>121</v>
      </c>
      <c r="W127" s="184">
        <f t="shared" si="31"/>
        <v>223815.89192102378</v>
      </c>
      <c r="X127" s="184">
        <f t="shared" si="32"/>
        <v>223815.89192102378</v>
      </c>
      <c r="Y127" s="184">
        <f t="shared" si="33"/>
        <v>111907.94596051189</v>
      </c>
    </row>
    <row r="128" spans="2:25" ht="15">
      <c r="B128" s="115">
        <f t="shared" si="47"/>
        <v>2036</v>
      </c>
      <c r="C128" s="116">
        <f t="shared" si="52"/>
        <v>88</v>
      </c>
      <c r="D128" s="51">
        <f t="shared" si="55"/>
        <v>0</v>
      </c>
      <c r="E128" s="51">
        <f t="shared" si="56"/>
        <v>0</v>
      </c>
      <c r="F128" s="52">
        <f t="shared" si="61"/>
        <v>0</v>
      </c>
      <c r="G128" s="52">
        <f t="shared" si="57"/>
        <v>0</v>
      </c>
      <c r="H128" s="118">
        <f t="shared" si="51"/>
        <v>0</v>
      </c>
      <c r="I128" s="117">
        <f t="shared" si="58"/>
        <v>0</v>
      </c>
      <c r="J128" s="117">
        <f t="shared" si="59"/>
        <v>0</v>
      </c>
      <c r="K128" s="117">
        <f t="shared" si="60"/>
        <v>0</v>
      </c>
      <c r="L128" s="52">
        <f t="shared" si="44"/>
        <v>0</v>
      </c>
      <c r="M128" s="52">
        <f t="shared" si="45"/>
        <v>0</v>
      </c>
      <c r="N128" s="132">
        <f t="shared" si="53"/>
        <v>0.05</v>
      </c>
      <c r="O128" s="132">
        <v>0.106</v>
      </c>
      <c r="P128" s="132">
        <v>0.018000000000000002</v>
      </c>
      <c r="Q128" s="119">
        <f t="shared" si="50"/>
        <v>0.029</v>
      </c>
      <c r="R128" s="132">
        <v>0.153</v>
      </c>
      <c r="S128" s="140">
        <v>113700</v>
      </c>
      <c r="T128" s="269">
        <f t="shared" si="49"/>
        <v>207870.12596844963</v>
      </c>
      <c r="U128" s="189">
        <f t="shared" si="54"/>
        <v>0</v>
      </c>
      <c r="V128" s="144">
        <f t="shared" si="30"/>
        <v>122</v>
      </c>
      <c r="W128" s="184">
        <f t="shared" si="31"/>
        <v>225236.19527404857</v>
      </c>
      <c r="X128" s="184">
        <f t="shared" si="32"/>
        <v>225236.19527404857</v>
      </c>
      <c r="Y128" s="184">
        <f t="shared" si="33"/>
        <v>112618.09763702429</v>
      </c>
    </row>
    <row r="129" spans="2:25" ht="15">
      <c r="B129" s="115">
        <f t="shared" si="47"/>
        <v>2037</v>
      </c>
      <c r="C129" s="116">
        <f t="shared" si="52"/>
        <v>89</v>
      </c>
      <c r="D129" s="51">
        <f t="shared" si="55"/>
        <v>0</v>
      </c>
      <c r="E129" s="51">
        <f t="shared" si="56"/>
        <v>0</v>
      </c>
      <c r="F129" s="52">
        <f t="shared" si="61"/>
        <v>0</v>
      </c>
      <c r="G129" s="52">
        <f t="shared" si="57"/>
        <v>0</v>
      </c>
      <c r="H129" s="118">
        <f t="shared" si="51"/>
        <v>0</v>
      </c>
      <c r="I129" s="117">
        <f t="shared" si="58"/>
        <v>0</v>
      </c>
      <c r="J129" s="117">
        <f t="shared" si="59"/>
        <v>0</v>
      </c>
      <c r="K129" s="117">
        <f t="shared" si="60"/>
        <v>0</v>
      </c>
      <c r="L129" s="52">
        <f t="shared" si="44"/>
        <v>0</v>
      </c>
      <c r="M129" s="52">
        <f t="shared" si="45"/>
        <v>0</v>
      </c>
      <c r="N129" s="132">
        <f t="shared" si="53"/>
        <v>0.05</v>
      </c>
      <c r="O129" s="132">
        <v>0.106</v>
      </c>
      <c r="P129" s="132">
        <v>0.018000000000000002</v>
      </c>
      <c r="Q129" s="119">
        <f t="shared" si="50"/>
        <v>0.029</v>
      </c>
      <c r="R129" s="132">
        <v>0.153</v>
      </c>
      <c r="S129" s="140">
        <v>113700</v>
      </c>
      <c r="T129" s="269">
        <f t="shared" si="49"/>
        <v>219988.95431241026</v>
      </c>
      <c r="U129" s="189">
        <f t="shared" si="54"/>
        <v>0</v>
      </c>
      <c r="V129" s="144">
        <f t="shared" si="30"/>
        <v>123</v>
      </c>
      <c r="W129" s="184">
        <f t="shared" si="31"/>
        <v>226650.60525216456</v>
      </c>
      <c r="X129" s="184">
        <f t="shared" si="32"/>
        <v>226650.60525216456</v>
      </c>
      <c r="Y129" s="184">
        <f t="shared" si="33"/>
        <v>113325.30262608228</v>
      </c>
    </row>
    <row r="130" spans="2:25" ht="15">
      <c r="B130" s="115">
        <f t="shared" si="47"/>
        <v>2038</v>
      </c>
      <c r="C130" s="116">
        <f t="shared" si="52"/>
        <v>90</v>
      </c>
      <c r="D130" s="51">
        <f t="shared" si="55"/>
        <v>0</v>
      </c>
      <c r="E130" s="51">
        <f t="shared" si="56"/>
        <v>0</v>
      </c>
      <c r="F130" s="52">
        <f t="shared" si="61"/>
        <v>0</v>
      </c>
      <c r="G130" s="52">
        <f t="shared" si="57"/>
        <v>0</v>
      </c>
      <c r="H130" s="118">
        <f t="shared" si="51"/>
        <v>0</v>
      </c>
      <c r="I130" s="117">
        <f t="shared" si="58"/>
        <v>0</v>
      </c>
      <c r="J130" s="117">
        <f t="shared" si="59"/>
        <v>0</v>
      </c>
      <c r="K130" s="117">
        <f t="shared" si="60"/>
        <v>0</v>
      </c>
      <c r="L130" s="52">
        <f t="shared" si="44"/>
        <v>0</v>
      </c>
      <c r="M130" s="52">
        <f t="shared" si="45"/>
        <v>0</v>
      </c>
      <c r="N130" s="132">
        <f t="shared" si="53"/>
        <v>0.05</v>
      </c>
      <c r="O130" s="132">
        <v>0.106</v>
      </c>
      <c r="P130" s="132">
        <v>0.018000000000000002</v>
      </c>
      <c r="Q130" s="119">
        <f t="shared" si="50"/>
        <v>0.029</v>
      </c>
      <c r="R130" s="132">
        <v>0.153</v>
      </c>
      <c r="S130" s="140">
        <v>113700</v>
      </c>
      <c r="T130" s="269">
        <f t="shared" si="49"/>
        <v>232814.31034882378</v>
      </c>
      <c r="U130" s="189">
        <f t="shared" si="54"/>
        <v>0</v>
      </c>
      <c r="V130" s="144">
        <f t="shared" si="30"/>
        <v>124</v>
      </c>
      <c r="W130" s="184">
        <f t="shared" si="31"/>
        <v>228059.14630920952</v>
      </c>
      <c r="X130" s="184">
        <f t="shared" si="32"/>
        <v>228059.14630920952</v>
      </c>
      <c r="Y130" s="184">
        <f t="shared" si="33"/>
        <v>114029.57315460476</v>
      </c>
    </row>
    <row r="131" spans="2:25" ht="15">
      <c r="B131" s="115">
        <f t="shared" si="47"/>
        <v>2039</v>
      </c>
      <c r="C131" s="116">
        <f t="shared" si="52"/>
        <v>91</v>
      </c>
      <c r="D131" s="51">
        <f t="shared" si="55"/>
        <v>0</v>
      </c>
      <c r="E131" s="51">
        <f t="shared" si="56"/>
        <v>0</v>
      </c>
      <c r="F131" s="52">
        <f t="shared" si="61"/>
        <v>0</v>
      </c>
      <c r="G131" s="52">
        <f t="shared" si="57"/>
        <v>0</v>
      </c>
      <c r="H131" s="118">
        <f t="shared" si="51"/>
        <v>0</v>
      </c>
      <c r="I131" s="117">
        <f t="shared" si="58"/>
        <v>0</v>
      </c>
      <c r="J131" s="117">
        <f t="shared" si="59"/>
        <v>0</v>
      </c>
      <c r="K131" s="117">
        <f t="shared" si="60"/>
        <v>0</v>
      </c>
      <c r="L131" s="52">
        <f t="shared" si="44"/>
        <v>0</v>
      </c>
      <c r="M131" s="52">
        <f t="shared" si="45"/>
        <v>0</v>
      </c>
      <c r="N131" s="132">
        <f t="shared" si="53"/>
        <v>0.05</v>
      </c>
      <c r="O131" s="132">
        <v>0.106</v>
      </c>
      <c r="P131" s="132">
        <v>0.018000000000000002</v>
      </c>
      <c r="Q131" s="119">
        <f t="shared" si="50"/>
        <v>0.029</v>
      </c>
      <c r="R131" s="132">
        <v>0.153</v>
      </c>
      <c r="S131" s="140">
        <v>113700</v>
      </c>
      <c r="T131" s="269">
        <f t="shared" si="49"/>
        <v>246387.3846421602</v>
      </c>
      <c r="U131" s="189">
        <f t="shared" si="54"/>
        <v>0</v>
      </c>
      <c r="V131" s="144">
        <f t="shared" si="30"/>
        <v>125</v>
      </c>
      <c r="W131" s="184">
        <f t="shared" si="31"/>
        <v>229461.84279755305</v>
      </c>
      <c r="X131" s="184">
        <f t="shared" si="32"/>
        <v>229461.84279755305</v>
      </c>
      <c r="Y131" s="184">
        <f t="shared" si="33"/>
        <v>114730.92139877653</v>
      </c>
    </row>
    <row r="132" spans="2:25" ht="15">
      <c r="B132" s="115">
        <f t="shared" si="47"/>
        <v>2040</v>
      </c>
      <c r="C132" s="116">
        <f t="shared" si="52"/>
        <v>92</v>
      </c>
      <c r="D132" s="51">
        <f t="shared" si="55"/>
        <v>0</v>
      </c>
      <c r="E132" s="51">
        <f t="shared" si="56"/>
        <v>0</v>
      </c>
      <c r="F132" s="52">
        <f t="shared" si="61"/>
        <v>0</v>
      </c>
      <c r="G132" s="52">
        <f t="shared" si="57"/>
        <v>0</v>
      </c>
      <c r="H132" s="118">
        <f t="shared" si="51"/>
        <v>0</v>
      </c>
      <c r="I132" s="117">
        <f t="shared" si="58"/>
        <v>0</v>
      </c>
      <c r="J132" s="117">
        <f t="shared" si="59"/>
        <v>0</v>
      </c>
      <c r="K132" s="117">
        <f t="shared" si="60"/>
        <v>0</v>
      </c>
      <c r="L132" s="52">
        <f t="shared" si="44"/>
        <v>0</v>
      </c>
      <c r="M132" s="52">
        <f t="shared" si="45"/>
        <v>0</v>
      </c>
      <c r="N132" s="132">
        <f t="shared" si="53"/>
        <v>0.05</v>
      </c>
      <c r="O132" s="132">
        <v>0.106</v>
      </c>
      <c r="P132" s="132">
        <v>0.018000000000000002</v>
      </c>
      <c r="Q132" s="119">
        <f t="shared" si="50"/>
        <v>0.029</v>
      </c>
      <c r="R132" s="132">
        <v>0.153</v>
      </c>
      <c r="S132" s="140">
        <v>113700</v>
      </c>
      <c r="T132" s="269">
        <f t="shared" si="49"/>
        <v>260751.76916679816</v>
      </c>
      <c r="U132" s="189">
        <f t="shared" si="54"/>
        <v>0</v>
      </c>
      <c r="V132" s="144">
        <f t="shared" si="30"/>
        <v>126</v>
      </c>
      <c r="W132" s="184">
        <f t="shared" si="31"/>
        <v>230858.71896851755</v>
      </c>
      <c r="X132" s="184">
        <f t="shared" si="32"/>
        <v>230858.71896851755</v>
      </c>
      <c r="Y132" s="184">
        <f t="shared" si="33"/>
        <v>115429.35948425878</v>
      </c>
    </row>
    <row r="133" spans="2:25" ht="15">
      <c r="B133" s="115">
        <f t="shared" si="47"/>
        <v>2041</v>
      </c>
      <c r="C133" s="116">
        <f t="shared" si="52"/>
        <v>93</v>
      </c>
      <c r="D133" s="51">
        <f t="shared" si="55"/>
        <v>0</v>
      </c>
      <c r="E133" s="51">
        <f t="shared" si="56"/>
        <v>0</v>
      </c>
      <c r="F133" s="52">
        <f t="shared" si="61"/>
        <v>0</v>
      </c>
      <c r="G133" s="52">
        <f t="shared" si="57"/>
        <v>0</v>
      </c>
      <c r="H133" s="118">
        <f t="shared" si="51"/>
        <v>0</v>
      </c>
      <c r="I133" s="117">
        <f t="shared" si="58"/>
        <v>0</v>
      </c>
      <c r="J133" s="117">
        <f t="shared" si="59"/>
        <v>0</v>
      </c>
      <c r="K133" s="117">
        <f t="shared" si="60"/>
        <v>0</v>
      </c>
      <c r="L133" s="52">
        <f t="shared" si="44"/>
        <v>0</v>
      </c>
      <c r="M133" s="52">
        <f t="shared" si="45"/>
        <v>0</v>
      </c>
      <c r="N133" s="132">
        <f t="shared" si="53"/>
        <v>0.05</v>
      </c>
      <c r="O133" s="132">
        <v>0.106</v>
      </c>
      <c r="P133" s="132">
        <v>0.018000000000000002</v>
      </c>
      <c r="Q133" s="119">
        <f t="shared" si="50"/>
        <v>0.029</v>
      </c>
      <c r="R133" s="132">
        <v>0.153</v>
      </c>
      <c r="S133" s="140">
        <v>113700</v>
      </c>
      <c r="T133" s="269">
        <f t="shared" si="49"/>
        <v>275953.5973092225</v>
      </c>
      <c r="U133" s="189">
        <f t="shared" si="54"/>
        <v>0</v>
      </c>
      <c r="V133" s="144">
        <f t="shared" si="30"/>
        <v>127</v>
      </c>
      <c r="W133" s="184">
        <f t="shared" si="31"/>
        <v>232249.79897279755</v>
      </c>
      <c r="X133" s="184">
        <f t="shared" si="32"/>
        <v>232249.79897279755</v>
      </c>
      <c r="Y133" s="184">
        <f t="shared" si="33"/>
        <v>116124.89948639878</v>
      </c>
    </row>
    <row r="134" spans="2:25" ht="15">
      <c r="B134" s="115">
        <f t="shared" si="47"/>
        <v>2042</v>
      </c>
      <c r="C134" s="116">
        <f t="shared" si="52"/>
        <v>94</v>
      </c>
      <c r="D134" s="51">
        <f t="shared" si="55"/>
        <v>0</v>
      </c>
      <c r="E134" s="51">
        <f t="shared" si="56"/>
        <v>0</v>
      </c>
      <c r="F134" s="52">
        <f t="shared" si="61"/>
        <v>0</v>
      </c>
      <c r="G134" s="52">
        <f t="shared" si="57"/>
        <v>0</v>
      </c>
      <c r="H134" s="118">
        <f t="shared" si="51"/>
        <v>0</v>
      </c>
      <c r="I134" s="117">
        <f t="shared" si="58"/>
        <v>0</v>
      </c>
      <c r="J134" s="117">
        <f t="shared" si="59"/>
        <v>0</v>
      </c>
      <c r="K134" s="117">
        <f t="shared" si="60"/>
        <v>0</v>
      </c>
      <c r="L134" s="52">
        <f t="shared" si="44"/>
        <v>0</v>
      </c>
      <c r="M134" s="52">
        <f t="shared" si="45"/>
        <v>0</v>
      </c>
      <c r="N134" s="132">
        <f t="shared" si="53"/>
        <v>0.05</v>
      </c>
      <c r="O134" s="132">
        <v>0.106</v>
      </c>
      <c r="P134" s="132">
        <v>0.018000000000000002</v>
      </c>
      <c r="Q134" s="119">
        <f t="shared" si="50"/>
        <v>0.029</v>
      </c>
      <c r="R134" s="132">
        <v>0.153</v>
      </c>
      <c r="S134" s="140">
        <v>113700</v>
      </c>
      <c r="T134" s="269">
        <f t="shared" si="49"/>
        <v>292041.69203235017</v>
      </c>
      <c r="U134" s="189">
        <f t="shared" si="54"/>
        <v>0</v>
      </c>
      <c r="V134" s="144">
        <f t="shared" si="30"/>
        <v>128</v>
      </c>
      <c r="W134" s="184">
        <f t="shared" si="31"/>
        <v>233635.10686087722</v>
      </c>
      <c r="X134" s="184">
        <f t="shared" si="32"/>
        <v>233635.10686087722</v>
      </c>
      <c r="Y134" s="184">
        <f t="shared" si="33"/>
        <v>116817.55343043861</v>
      </c>
    </row>
    <row r="135" spans="2:25" ht="15">
      <c r="B135" s="115">
        <f t="shared" si="47"/>
        <v>2043</v>
      </c>
      <c r="C135" s="116">
        <f t="shared" si="52"/>
        <v>95</v>
      </c>
      <c r="D135" s="51">
        <f t="shared" si="55"/>
        <v>0</v>
      </c>
      <c r="E135" s="51">
        <f t="shared" si="56"/>
        <v>0</v>
      </c>
      <c r="F135" s="52">
        <f t="shared" si="61"/>
        <v>0</v>
      </c>
      <c r="G135" s="52">
        <f t="shared" si="57"/>
        <v>0</v>
      </c>
      <c r="H135" s="118">
        <f t="shared" si="51"/>
        <v>0</v>
      </c>
      <c r="I135" s="117">
        <f t="shared" si="58"/>
        <v>0</v>
      </c>
      <c r="J135" s="117">
        <f t="shared" si="59"/>
        <v>0</v>
      </c>
      <c r="K135" s="117">
        <f t="shared" si="60"/>
        <v>0</v>
      </c>
      <c r="L135" s="52">
        <f t="shared" si="44"/>
        <v>0</v>
      </c>
      <c r="M135" s="52">
        <f t="shared" si="45"/>
        <v>0</v>
      </c>
      <c r="N135" s="132">
        <f t="shared" si="53"/>
        <v>0.05</v>
      </c>
      <c r="O135" s="132">
        <v>0.106</v>
      </c>
      <c r="P135" s="132">
        <v>0.018000000000000002</v>
      </c>
      <c r="Q135" s="119">
        <f t="shared" si="50"/>
        <v>0.029</v>
      </c>
      <c r="R135" s="132">
        <v>0.153</v>
      </c>
      <c r="S135" s="140">
        <v>113700</v>
      </c>
      <c r="T135" s="269">
        <f t="shared" si="49"/>
        <v>309067.7226778362</v>
      </c>
      <c r="U135" s="189">
        <f t="shared" si="54"/>
        <v>0</v>
      </c>
      <c r="V135" s="144">
        <f t="shared" si="30"/>
        <v>129</v>
      </c>
      <c r="W135" s="184">
        <f t="shared" si="31"/>
        <v>235014.66658344617</v>
      </c>
      <c r="X135" s="184">
        <f t="shared" si="32"/>
        <v>235014.66658344617</v>
      </c>
      <c r="Y135" s="184">
        <f t="shared" si="33"/>
        <v>117507.33329172309</v>
      </c>
    </row>
    <row r="136" spans="2:25" ht="15">
      <c r="B136" s="115">
        <f t="shared" si="47"/>
        <v>2044</v>
      </c>
      <c r="C136" s="116">
        <f t="shared" si="52"/>
        <v>96</v>
      </c>
      <c r="D136" s="51">
        <f t="shared" si="55"/>
        <v>0</v>
      </c>
      <c r="E136" s="51">
        <f t="shared" si="56"/>
        <v>0</v>
      </c>
      <c r="F136" s="52">
        <f t="shared" si="61"/>
        <v>0</v>
      </c>
      <c r="G136" s="52">
        <f t="shared" si="57"/>
        <v>0</v>
      </c>
      <c r="H136" s="118">
        <f t="shared" si="51"/>
        <v>0</v>
      </c>
      <c r="I136" s="117">
        <f t="shared" si="58"/>
        <v>0</v>
      </c>
      <c r="J136" s="117">
        <f t="shared" si="59"/>
        <v>0</v>
      </c>
      <c r="K136" s="117">
        <f t="shared" si="60"/>
        <v>0</v>
      </c>
      <c r="L136" s="52">
        <f t="shared" si="44"/>
        <v>0</v>
      </c>
      <c r="M136" s="52">
        <f t="shared" si="45"/>
        <v>0</v>
      </c>
      <c r="N136" s="132">
        <f t="shared" si="53"/>
        <v>0.05</v>
      </c>
      <c r="O136" s="132">
        <v>0.106</v>
      </c>
      <c r="P136" s="132">
        <v>0.018000000000000002</v>
      </c>
      <c r="Q136" s="119">
        <f t="shared" si="50"/>
        <v>0.029</v>
      </c>
      <c r="R136" s="132">
        <v>0.153</v>
      </c>
      <c r="S136" s="140">
        <v>113700</v>
      </c>
      <c r="T136" s="269">
        <f t="shared" si="49"/>
        <v>327086.3709099541</v>
      </c>
      <c r="U136" s="189">
        <f t="shared" si="54"/>
        <v>0</v>
      </c>
      <c r="V136" s="144">
        <f t="shared" si="30"/>
        <v>130</v>
      </c>
      <c r="W136" s="184">
        <f t="shared" si="31"/>
        <v>236388.50199181362</v>
      </c>
      <c r="X136" s="184">
        <f t="shared" si="32"/>
        <v>236388.50199181362</v>
      </c>
      <c r="Y136" s="184">
        <f t="shared" si="33"/>
        <v>118194.25099590681</v>
      </c>
    </row>
    <row r="137" spans="2:25" ht="15">
      <c r="B137" s="115">
        <f t="shared" si="47"/>
        <v>2045</v>
      </c>
      <c r="C137" s="116">
        <f t="shared" si="52"/>
        <v>97</v>
      </c>
      <c r="D137" s="51">
        <f t="shared" si="55"/>
        <v>0</v>
      </c>
      <c r="E137" s="51">
        <f t="shared" si="56"/>
        <v>0</v>
      </c>
      <c r="F137" s="52">
        <f t="shared" si="61"/>
        <v>0</v>
      </c>
      <c r="G137" s="52">
        <f t="shared" si="57"/>
        <v>0</v>
      </c>
      <c r="H137" s="118">
        <f t="shared" si="51"/>
        <v>0</v>
      </c>
      <c r="I137" s="117">
        <f t="shared" si="58"/>
        <v>0</v>
      </c>
      <c r="J137" s="117">
        <f t="shared" si="59"/>
        <v>0</v>
      </c>
      <c r="K137" s="117">
        <f t="shared" si="60"/>
        <v>0</v>
      </c>
      <c r="L137" s="52">
        <f t="shared" si="44"/>
        <v>0</v>
      </c>
      <c r="M137" s="52">
        <f t="shared" si="45"/>
        <v>0</v>
      </c>
      <c r="N137" s="132">
        <f t="shared" si="53"/>
        <v>0.05</v>
      </c>
      <c r="O137" s="132">
        <v>0.106</v>
      </c>
      <c r="P137" s="132">
        <v>0.018000000000000002</v>
      </c>
      <c r="Q137" s="119">
        <f t="shared" si="50"/>
        <v>0.029</v>
      </c>
      <c r="R137" s="132">
        <v>0.153</v>
      </c>
      <c r="S137" s="140">
        <v>113700</v>
      </c>
      <c r="T137" s="269">
        <f t="shared" si="49"/>
        <v>346155.5063340044</v>
      </c>
      <c r="U137" s="189">
        <f t="shared" si="54"/>
        <v>0</v>
      </c>
      <c r="V137" s="144">
        <f aca="true" t="shared" si="62" ref="V137:V200">1+V136</f>
        <v>131</v>
      </c>
      <c r="W137" s="184">
        <f aca="true" t="shared" si="63" ref="W137:W200">IF($V137&lt;12*$Q$17,W136+$Q$16*POWER(1+$Q$15/12,-($V137-1)),0)</f>
        <v>237756.6368383206</v>
      </c>
      <c r="X137" s="184">
        <f aca="true" t="shared" si="64" ref="X137:X200">IF($V137&lt;12*$Q$18,X136+$Q$16*POWER(1+$Q$15/12,-($V137-1)),0)</f>
        <v>237756.6368383206</v>
      </c>
      <c r="Y137" s="184">
        <f aca="true" t="shared" si="65" ref="Y137:Y200">IF(AND($V137&lt;12*$Q$17,$V137&lt;12*$Q$18),Y136+($Q$16/2)*POWER(1+$Q$15/12,-($V137-1)),0)</f>
        <v>118878.3184191603</v>
      </c>
    </row>
    <row r="138" spans="2:25" ht="15">
      <c r="B138" s="115">
        <f t="shared" si="47"/>
        <v>2046</v>
      </c>
      <c r="C138" s="116">
        <f t="shared" si="52"/>
        <v>98</v>
      </c>
      <c r="D138" s="51">
        <f t="shared" si="55"/>
        <v>0</v>
      </c>
      <c r="E138" s="51">
        <f t="shared" si="56"/>
        <v>0</v>
      </c>
      <c r="F138" s="52">
        <f t="shared" si="61"/>
        <v>0</v>
      </c>
      <c r="G138" s="52">
        <f t="shared" si="57"/>
        <v>0</v>
      </c>
      <c r="H138" s="118">
        <f t="shared" si="51"/>
        <v>0</v>
      </c>
      <c r="I138" s="117">
        <f t="shared" si="58"/>
        <v>0</v>
      </c>
      <c r="J138" s="117">
        <f t="shared" si="59"/>
        <v>0</v>
      </c>
      <c r="K138" s="117">
        <f t="shared" si="60"/>
        <v>0</v>
      </c>
      <c r="L138" s="52">
        <f t="shared" si="44"/>
        <v>0</v>
      </c>
      <c r="M138" s="52">
        <f t="shared" si="45"/>
        <v>0</v>
      </c>
      <c r="N138" s="132">
        <f t="shared" si="53"/>
        <v>0.05</v>
      </c>
      <c r="O138" s="132">
        <v>0.106</v>
      </c>
      <c r="P138" s="132">
        <v>0.018000000000000002</v>
      </c>
      <c r="Q138" s="119">
        <f t="shared" si="50"/>
        <v>0.029</v>
      </c>
      <c r="R138" s="132">
        <v>0.153</v>
      </c>
      <c r="S138" s="140">
        <v>113700</v>
      </c>
      <c r="T138" s="269">
        <f t="shared" si="49"/>
        <v>366336.3723532769</v>
      </c>
      <c r="U138" s="189">
        <f t="shared" si="54"/>
        <v>0</v>
      </c>
      <c r="V138" s="144">
        <f t="shared" si="62"/>
        <v>132</v>
      </c>
      <c r="W138" s="184">
        <f t="shared" si="63"/>
        <v>239119.0947767508</v>
      </c>
      <c r="X138" s="184">
        <f t="shared" si="64"/>
        <v>239119.0947767508</v>
      </c>
      <c r="Y138" s="184">
        <f t="shared" si="65"/>
        <v>119559.5473883754</v>
      </c>
    </row>
    <row r="139" spans="2:25" ht="15">
      <c r="B139" s="115">
        <f t="shared" si="47"/>
        <v>2047</v>
      </c>
      <c r="C139" s="116">
        <f t="shared" si="52"/>
        <v>99</v>
      </c>
      <c r="D139" s="51">
        <f t="shared" si="55"/>
        <v>0</v>
      </c>
      <c r="E139" s="51">
        <f t="shared" si="56"/>
        <v>0</v>
      </c>
      <c r="F139" s="52">
        <f t="shared" si="61"/>
        <v>0</v>
      </c>
      <c r="G139" s="52">
        <f t="shared" si="57"/>
        <v>0</v>
      </c>
      <c r="H139" s="118">
        <f t="shared" si="51"/>
        <v>0</v>
      </c>
      <c r="I139" s="117">
        <f t="shared" si="58"/>
        <v>0</v>
      </c>
      <c r="J139" s="117">
        <f t="shared" si="59"/>
        <v>0</v>
      </c>
      <c r="K139" s="117">
        <f t="shared" si="60"/>
        <v>0</v>
      </c>
      <c r="L139" s="52">
        <f t="shared" si="44"/>
        <v>0</v>
      </c>
      <c r="M139" s="52">
        <f t="shared" si="45"/>
        <v>0</v>
      </c>
      <c r="N139" s="132">
        <f t="shared" si="53"/>
        <v>0.05</v>
      </c>
      <c r="O139" s="132">
        <v>0.106</v>
      </c>
      <c r="P139" s="132">
        <v>0.018000000000000002</v>
      </c>
      <c r="Q139" s="119">
        <f t="shared" si="50"/>
        <v>0.029</v>
      </c>
      <c r="R139" s="132">
        <v>0.153</v>
      </c>
      <c r="S139" s="140">
        <v>113700</v>
      </c>
      <c r="T139" s="269">
        <f t="shared" si="49"/>
        <v>387693.7828614729</v>
      </c>
      <c r="U139" s="189">
        <f t="shared" si="54"/>
        <v>0</v>
      </c>
      <c r="V139" s="144">
        <f t="shared" si="62"/>
        <v>133</v>
      </c>
      <c r="W139" s="184">
        <f t="shared" si="63"/>
        <v>240475.89936273938</v>
      </c>
      <c r="X139" s="184">
        <f t="shared" si="64"/>
        <v>240475.89936273938</v>
      </c>
      <c r="Y139" s="184">
        <f t="shared" si="65"/>
        <v>120237.94968136969</v>
      </c>
    </row>
    <row r="140" spans="2:25" ht="15">
      <c r="B140" s="115">
        <f t="shared" si="47"/>
        <v>2048</v>
      </c>
      <c r="C140" s="116">
        <f t="shared" si="52"/>
        <v>100</v>
      </c>
      <c r="D140" s="51">
        <f t="shared" si="55"/>
        <v>0</v>
      </c>
      <c r="E140" s="51">
        <f t="shared" si="56"/>
        <v>0</v>
      </c>
      <c r="F140" s="52">
        <f t="shared" si="61"/>
        <v>0</v>
      </c>
      <c r="G140" s="52">
        <f t="shared" si="57"/>
        <v>0</v>
      </c>
      <c r="H140" s="118">
        <f t="shared" si="51"/>
        <v>0</v>
      </c>
      <c r="I140" s="117">
        <f t="shared" si="58"/>
        <v>0</v>
      </c>
      <c r="J140" s="117">
        <f t="shared" si="59"/>
        <v>0</v>
      </c>
      <c r="K140" s="117">
        <f t="shared" si="60"/>
        <v>0</v>
      </c>
      <c r="L140" s="52">
        <f t="shared" si="44"/>
        <v>0</v>
      </c>
      <c r="M140" s="52">
        <f t="shared" si="45"/>
        <v>0</v>
      </c>
      <c r="N140" s="132">
        <f t="shared" si="53"/>
        <v>0.05</v>
      </c>
      <c r="O140" s="132">
        <v>0.106</v>
      </c>
      <c r="P140" s="132">
        <v>0.018000000000000002</v>
      </c>
      <c r="Q140" s="119">
        <f t="shared" si="50"/>
        <v>0.029</v>
      </c>
      <c r="R140" s="132">
        <v>0.153</v>
      </c>
      <c r="S140" s="140">
        <v>113700</v>
      </c>
      <c r="T140" s="269">
        <f t="shared" si="49"/>
        <v>410296.3304022968</v>
      </c>
      <c r="U140" s="189">
        <f t="shared" si="54"/>
        <v>0</v>
      </c>
      <c r="V140" s="144">
        <f t="shared" si="62"/>
        <v>134</v>
      </c>
      <c r="W140" s="184">
        <f t="shared" si="63"/>
        <v>241827.0740541803</v>
      </c>
      <c r="X140" s="184">
        <f t="shared" si="64"/>
        <v>241827.0740541803</v>
      </c>
      <c r="Y140" s="184">
        <f t="shared" si="65"/>
        <v>120913.53702709015</v>
      </c>
    </row>
    <row r="141" spans="2:25" ht="15">
      <c r="B141" s="115">
        <f t="shared" si="47"/>
        <v>2049</v>
      </c>
      <c r="C141" s="116">
        <f t="shared" si="52"/>
        <v>101</v>
      </c>
      <c r="D141" s="51">
        <f t="shared" si="55"/>
        <v>0</v>
      </c>
      <c r="E141" s="51">
        <f t="shared" si="56"/>
        <v>0</v>
      </c>
      <c r="F141" s="52">
        <f t="shared" si="61"/>
        <v>0</v>
      </c>
      <c r="G141" s="52">
        <f t="shared" si="57"/>
        <v>0</v>
      </c>
      <c r="H141" s="118">
        <f t="shared" si="51"/>
        <v>0</v>
      </c>
      <c r="I141" s="117">
        <f t="shared" si="58"/>
        <v>0</v>
      </c>
      <c r="J141" s="117">
        <f t="shared" si="59"/>
        <v>0</v>
      </c>
      <c r="K141" s="117">
        <f t="shared" si="60"/>
        <v>0</v>
      </c>
      <c r="L141" s="52">
        <f t="shared" si="44"/>
        <v>0</v>
      </c>
      <c r="M141" s="52">
        <f t="shared" si="45"/>
        <v>0</v>
      </c>
      <c r="N141" s="132">
        <f t="shared" si="53"/>
        <v>0.05</v>
      </c>
      <c r="O141" s="132">
        <v>0.106</v>
      </c>
      <c r="P141" s="132">
        <v>0.018000000000000002</v>
      </c>
      <c r="Q141" s="119">
        <f t="shared" si="50"/>
        <v>0.029</v>
      </c>
      <c r="R141" s="132">
        <v>0.153</v>
      </c>
      <c r="S141" s="140">
        <v>113700</v>
      </c>
      <c r="T141" s="269">
        <f t="shared" si="49"/>
        <v>434216.6064647507</v>
      </c>
      <c r="U141" s="189">
        <f t="shared" si="54"/>
        <v>0</v>
      </c>
      <c r="V141" s="144">
        <f t="shared" si="62"/>
        <v>135</v>
      </c>
      <c r="W141" s="184">
        <f t="shared" si="63"/>
        <v>243172.6422116318</v>
      </c>
      <c r="X141" s="184">
        <f t="shared" si="64"/>
        <v>243172.6422116318</v>
      </c>
      <c r="Y141" s="184">
        <f t="shared" si="65"/>
        <v>121586.3211058159</v>
      </c>
    </row>
    <row r="142" spans="2:25" ht="15">
      <c r="B142" s="115">
        <f t="shared" si="47"/>
        <v>2050</v>
      </c>
      <c r="C142" s="116">
        <f t="shared" si="52"/>
        <v>102</v>
      </c>
      <c r="D142" s="51">
        <f t="shared" si="55"/>
        <v>0</v>
      </c>
      <c r="E142" s="51">
        <f t="shared" si="56"/>
        <v>0</v>
      </c>
      <c r="F142" s="52">
        <f t="shared" si="61"/>
        <v>0</v>
      </c>
      <c r="G142" s="52">
        <f t="shared" si="57"/>
        <v>0</v>
      </c>
      <c r="H142" s="118">
        <f t="shared" si="51"/>
        <v>0</v>
      </c>
      <c r="I142" s="117">
        <f t="shared" si="58"/>
        <v>0</v>
      </c>
      <c r="J142" s="117">
        <f t="shared" si="59"/>
        <v>0</v>
      </c>
      <c r="K142" s="117">
        <f t="shared" si="60"/>
        <v>0</v>
      </c>
      <c r="L142" s="52">
        <f t="shared" si="44"/>
        <v>0</v>
      </c>
      <c r="M142" s="52">
        <f t="shared" si="45"/>
        <v>0</v>
      </c>
      <c r="N142" s="132">
        <f t="shared" si="53"/>
        <v>0.05</v>
      </c>
      <c r="O142" s="132">
        <v>0.106</v>
      </c>
      <c r="P142" s="132">
        <v>0.018000000000000002</v>
      </c>
      <c r="Q142" s="119">
        <f t="shared" si="50"/>
        <v>0.029</v>
      </c>
      <c r="R142" s="132">
        <v>0.153</v>
      </c>
      <c r="S142" s="140">
        <v>113700</v>
      </c>
      <c r="T142" s="269">
        <f t="shared" si="49"/>
        <v>459531.43462164566</v>
      </c>
      <c r="U142" s="189">
        <f t="shared" si="54"/>
        <v>0</v>
      </c>
      <c r="V142" s="144">
        <f t="shared" si="62"/>
        <v>136</v>
      </c>
      <c r="W142" s="184">
        <f t="shared" si="63"/>
        <v>244512.62709872046</v>
      </c>
      <c r="X142" s="184">
        <f t="shared" si="64"/>
        <v>244512.62709872046</v>
      </c>
      <c r="Y142" s="184">
        <f t="shared" si="65"/>
        <v>122256.31354936023</v>
      </c>
    </row>
    <row r="143" spans="2:25" ht="15">
      <c r="B143" s="115">
        <f t="shared" si="47"/>
        <v>2051</v>
      </c>
      <c r="C143" s="116">
        <f t="shared" si="52"/>
        <v>103</v>
      </c>
      <c r="D143" s="51">
        <f t="shared" si="55"/>
        <v>0</v>
      </c>
      <c r="E143" s="51">
        <f t="shared" si="56"/>
        <v>0</v>
      </c>
      <c r="F143" s="52">
        <f t="shared" si="61"/>
        <v>0</v>
      </c>
      <c r="G143" s="52">
        <f t="shared" si="57"/>
        <v>0</v>
      </c>
      <c r="H143" s="118">
        <f t="shared" si="51"/>
        <v>0</v>
      </c>
      <c r="I143" s="117">
        <f t="shared" si="58"/>
        <v>0</v>
      </c>
      <c r="J143" s="117">
        <f t="shared" si="59"/>
        <v>0</v>
      </c>
      <c r="K143" s="117">
        <f t="shared" si="60"/>
        <v>0</v>
      </c>
      <c r="L143" s="52">
        <f t="shared" si="44"/>
        <v>0</v>
      </c>
      <c r="M143" s="52">
        <f t="shared" si="45"/>
        <v>0</v>
      </c>
      <c r="N143" s="132">
        <f t="shared" si="53"/>
        <v>0.05</v>
      </c>
      <c r="O143" s="132">
        <v>0.106</v>
      </c>
      <c r="P143" s="132">
        <v>0.018000000000000002</v>
      </c>
      <c r="Q143" s="119">
        <f t="shared" si="50"/>
        <v>0.029</v>
      </c>
      <c r="R143" s="132">
        <v>0.153</v>
      </c>
      <c r="S143" s="140">
        <v>113700</v>
      </c>
      <c r="T143" s="269">
        <f t="shared" si="49"/>
        <v>486322.11726008763</v>
      </c>
      <c r="U143" s="189">
        <f t="shared" si="54"/>
        <v>0</v>
      </c>
      <c r="V143" s="144">
        <f t="shared" si="62"/>
        <v>137</v>
      </c>
      <c r="W143" s="184">
        <f t="shared" si="63"/>
        <v>245847.0518825432</v>
      </c>
      <c r="X143" s="184">
        <f t="shared" si="64"/>
        <v>245847.0518825432</v>
      </c>
      <c r="Y143" s="184">
        <f t="shared" si="65"/>
        <v>122923.5259412716</v>
      </c>
    </row>
    <row r="144" spans="2:25" ht="15">
      <c r="B144" s="115">
        <f t="shared" si="47"/>
        <v>2052</v>
      </c>
      <c r="C144" s="116">
        <f t="shared" si="52"/>
        <v>104</v>
      </c>
      <c r="D144" s="51">
        <f t="shared" si="55"/>
        <v>0</v>
      </c>
      <c r="E144" s="51">
        <f t="shared" si="56"/>
        <v>0</v>
      </c>
      <c r="F144" s="52">
        <f t="shared" si="61"/>
        <v>0</v>
      </c>
      <c r="G144" s="52">
        <f t="shared" si="57"/>
        <v>0</v>
      </c>
      <c r="H144" s="118">
        <f t="shared" si="51"/>
        <v>0</v>
      </c>
      <c r="I144" s="117">
        <f t="shared" si="58"/>
        <v>0</v>
      </c>
      <c r="J144" s="117">
        <f t="shared" si="59"/>
        <v>0</v>
      </c>
      <c r="K144" s="117">
        <f t="shared" si="60"/>
        <v>0</v>
      </c>
      <c r="L144" s="52">
        <f t="shared" si="44"/>
        <v>0</v>
      </c>
      <c r="M144" s="52">
        <f t="shared" si="45"/>
        <v>0</v>
      </c>
      <c r="N144" s="132">
        <f t="shared" si="53"/>
        <v>0.05</v>
      </c>
      <c r="O144" s="132">
        <v>0.106</v>
      </c>
      <c r="P144" s="132">
        <v>0.018000000000000002</v>
      </c>
      <c r="Q144" s="119">
        <f t="shared" si="50"/>
        <v>0.029</v>
      </c>
      <c r="R144" s="132">
        <v>0.153</v>
      </c>
      <c r="S144" s="140">
        <v>113700</v>
      </c>
      <c r="T144" s="269">
        <f t="shared" si="49"/>
        <v>514674.69669635076</v>
      </c>
      <c r="U144" s="189">
        <f t="shared" si="54"/>
        <v>0</v>
      </c>
      <c r="V144" s="144">
        <f t="shared" si="62"/>
        <v>138</v>
      </c>
      <c r="W144" s="184">
        <f t="shared" si="63"/>
        <v>247175.9396340679</v>
      </c>
      <c r="X144" s="184">
        <f t="shared" si="64"/>
        <v>247175.9396340679</v>
      </c>
      <c r="Y144" s="184">
        <f t="shared" si="65"/>
        <v>123587.96981703395</v>
      </c>
    </row>
    <row r="145" spans="2:25" ht="15">
      <c r="B145" s="115">
        <f t="shared" si="47"/>
        <v>2053</v>
      </c>
      <c r="C145" s="116">
        <f t="shared" si="52"/>
        <v>105</v>
      </c>
      <c r="D145" s="51">
        <f t="shared" si="55"/>
        <v>0</v>
      </c>
      <c r="E145" s="51">
        <f t="shared" si="56"/>
        <v>0</v>
      </c>
      <c r="F145" s="52">
        <f t="shared" si="61"/>
        <v>0</v>
      </c>
      <c r="G145" s="52">
        <f t="shared" si="57"/>
        <v>0</v>
      </c>
      <c r="H145" s="118">
        <f t="shared" si="51"/>
        <v>0</v>
      </c>
      <c r="I145" s="117">
        <f t="shared" si="58"/>
        <v>0</v>
      </c>
      <c r="J145" s="117">
        <f t="shared" si="59"/>
        <v>0</v>
      </c>
      <c r="K145" s="117">
        <f t="shared" si="60"/>
        <v>0</v>
      </c>
      <c r="L145" s="52">
        <f t="shared" si="44"/>
        <v>0</v>
      </c>
      <c r="M145" s="52">
        <f t="shared" si="45"/>
        <v>0</v>
      </c>
      <c r="N145" s="132">
        <f t="shared" si="53"/>
        <v>0.05</v>
      </c>
      <c r="O145" s="132">
        <v>0.106</v>
      </c>
      <c r="P145" s="132">
        <v>0.018000000000000002</v>
      </c>
      <c r="Q145" s="119">
        <f t="shared" si="50"/>
        <v>0.029</v>
      </c>
      <c r="R145" s="132">
        <v>0.153</v>
      </c>
      <c r="S145" s="140">
        <v>113700</v>
      </c>
      <c r="T145" s="269">
        <f t="shared" si="49"/>
        <v>544680.2315137481</v>
      </c>
      <c r="U145" s="189">
        <f t="shared" si="54"/>
        <v>0</v>
      </c>
      <c r="V145" s="144">
        <f t="shared" si="62"/>
        <v>139</v>
      </c>
      <c r="W145" s="184">
        <f t="shared" si="63"/>
        <v>248499.31332853236</v>
      </c>
      <c r="X145" s="184">
        <f t="shared" si="64"/>
        <v>248499.31332853236</v>
      </c>
      <c r="Y145" s="184">
        <f t="shared" si="65"/>
        <v>124249.65666426618</v>
      </c>
    </row>
    <row r="146" spans="2:25" ht="15">
      <c r="B146" s="115">
        <f t="shared" si="47"/>
        <v>2054</v>
      </c>
      <c r="C146" s="116">
        <f t="shared" si="52"/>
        <v>106</v>
      </c>
      <c r="D146" s="51">
        <f t="shared" si="55"/>
        <v>0</v>
      </c>
      <c r="E146" s="51">
        <f t="shared" si="56"/>
        <v>0</v>
      </c>
      <c r="F146" s="52">
        <f t="shared" si="61"/>
        <v>0</v>
      </c>
      <c r="G146" s="52">
        <f t="shared" si="57"/>
        <v>0</v>
      </c>
      <c r="H146" s="118">
        <f t="shared" si="51"/>
        <v>0</v>
      </c>
      <c r="I146" s="117">
        <f t="shared" si="58"/>
        <v>0</v>
      </c>
      <c r="J146" s="117">
        <f t="shared" si="59"/>
        <v>0</v>
      </c>
      <c r="K146" s="117">
        <f t="shared" si="60"/>
        <v>0</v>
      </c>
      <c r="L146" s="52">
        <f t="shared" si="44"/>
        <v>0</v>
      </c>
      <c r="M146" s="52">
        <f t="shared" si="45"/>
        <v>0</v>
      </c>
      <c r="N146" s="132">
        <f t="shared" si="53"/>
        <v>0.05</v>
      </c>
      <c r="O146" s="132">
        <v>0.106</v>
      </c>
      <c r="P146" s="132">
        <v>0.018000000000000002</v>
      </c>
      <c r="Q146" s="119">
        <f t="shared" si="50"/>
        <v>0.029</v>
      </c>
      <c r="R146" s="132">
        <v>0.153</v>
      </c>
      <c r="S146" s="140">
        <v>113700</v>
      </c>
      <c r="T146" s="269">
        <f t="shared" si="49"/>
        <v>576435.0890109995</v>
      </c>
      <c r="U146" s="189">
        <f t="shared" si="54"/>
        <v>0</v>
      </c>
      <c r="V146" s="144">
        <f t="shared" si="62"/>
        <v>140</v>
      </c>
      <c r="W146" s="184">
        <f t="shared" si="63"/>
        <v>249817.19584584134</v>
      </c>
      <c r="X146" s="184">
        <f t="shared" si="64"/>
        <v>249817.19584584134</v>
      </c>
      <c r="Y146" s="184">
        <f t="shared" si="65"/>
        <v>124908.59792292067</v>
      </c>
    </row>
    <row r="147" spans="2:25" ht="15">
      <c r="B147" s="115">
        <f t="shared" si="47"/>
        <v>2055</v>
      </c>
      <c r="C147" s="116">
        <f t="shared" si="52"/>
        <v>107</v>
      </c>
      <c r="D147" s="51">
        <f t="shared" si="55"/>
        <v>0</v>
      </c>
      <c r="E147" s="51">
        <f t="shared" si="56"/>
        <v>0</v>
      </c>
      <c r="F147" s="52">
        <f t="shared" si="61"/>
        <v>0</v>
      </c>
      <c r="G147" s="52">
        <f t="shared" si="57"/>
        <v>0</v>
      </c>
      <c r="H147" s="118">
        <f t="shared" si="51"/>
        <v>0</v>
      </c>
      <c r="I147" s="117">
        <f t="shared" si="58"/>
        <v>0</v>
      </c>
      <c r="J147" s="117">
        <f t="shared" si="59"/>
        <v>0</v>
      </c>
      <c r="K147" s="117">
        <f t="shared" si="60"/>
        <v>0</v>
      </c>
      <c r="L147" s="52">
        <f t="shared" si="44"/>
        <v>0</v>
      </c>
      <c r="M147" s="52">
        <f t="shared" si="45"/>
        <v>0</v>
      </c>
      <c r="N147" s="132">
        <f t="shared" si="53"/>
        <v>0.05</v>
      </c>
      <c r="O147" s="132">
        <v>0.106</v>
      </c>
      <c r="P147" s="132">
        <v>0.018000000000000002</v>
      </c>
      <c r="Q147" s="119">
        <f t="shared" si="50"/>
        <v>0.029</v>
      </c>
      <c r="R147" s="132">
        <v>0.153</v>
      </c>
      <c r="S147" s="140">
        <v>113700</v>
      </c>
      <c r="T147" s="269">
        <f t="shared" si="49"/>
        <v>610041.2547003408</v>
      </c>
      <c r="U147" s="189">
        <f t="shared" si="54"/>
        <v>0</v>
      </c>
      <c r="V147" s="144">
        <f t="shared" si="62"/>
        <v>141</v>
      </c>
      <c r="W147" s="184">
        <f t="shared" si="63"/>
        <v>251129.60997096234</v>
      </c>
      <c r="X147" s="184">
        <f t="shared" si="64"/>
        <v>251129.60997096234</v>
      </c>
      <c r="Y147" s="184">
        <f t="shared" si="65"/>
        <v>125564.80498548117</v>
      </c>
    </row>
    <row r="148" spans="2:25" ht="15">
      <c r="B148" s="115">
        <f t="shared" si="47"/>
        <v>2056</v>
      </c>
      <c r="C148" s="116">
        <f t="shared" si="52"/>
        <v>108</v>
      </c>
      <c r="D148" s="51">
        <f t="shared" si="55"/>
        <v>0</v>
      </c>
      <c r="E148" s="51">
        <f t="shared" si="56"/>
        <v>0</v>
      </c>
      <c r="F148" s="52">
        <f t="shared" si="61"/>
        <v>0</v>
      </c>
      <c r="G148" s="52">
        <f t="shared" si="57"/>
        <v>0</v>
      </c>
      <c r="H148" s="118">
        <f t="shared" si="51"/>
        <v>0</v>
      </c>
      <c r="I148" s="117">
        <f t="shared" si="58"/>
        <v>0</v>
      </c>
      <c r="J148" s="117">
        <f t="shared" si="59"/>
        <v>0</v>
      </c>
      <c r="K148" s="117">
        <f t="shared" si="60"/>
        <v>0</v>
      </c>
      <c r="L148" s="52">
        <f t="shared" si="44"/>
        <v>0</v>
      </c>
      <c r="M148" s="52">
        <f t="shared" si="45"/>
        <v>0</v>
      </c>
      <c r="N148" s="132">
        <f t="shared" si="53"/>
        <v>0.05</v>
      </c>
      <c r="O148" s="132">
        <v>0.106</v>
      </c>
      <c r="P148" s="132">
        <v>0.018000000000000002</v>
      </c>
      <c r="Q148" s="119">
        <f t="shared" si="50"/>
        <v>0.029</v>
      </c>
      <c r="R148" s="132">
        <v>0.153</v>
      </c>
      <c r="S148" s="140">
        <v>113700</v>
      </c>
      <c r="T148" s="269">
        <f t="shared" si="49"/>
        <v>645606.6598493707</v>
      </c>
      <c r="U148" s="189">
        <f t="shared" si="54"/>
        <v>0</v>
      </c>
      <c r="V148" s="144">
        <f t="shared" si="62"/>
        <v>142</v>
      </c>
      <c r="W148" s="184">
        <f t="shared" si="63"/>
        <v>252436.57839431934</v>
      </c>
      <c r="X148" s="184">
        <f t="shared" si="64"/>
        <v>252436.57839431934</v>
      </c>
      <c r="Y148" s="184">
        <f t="shared" si="65"/>
        <v>126218.28919715967</v>
      </c>
    </row>
    <row r="149" spans="2:25" ht="15">
      <c r="B149" s="115">
        <f t="shared" si="47"/>
        <v>2057</v>
      </c>
      <c r="C149" s="116">
        <f t="shared" si="52"/>
        <v>109</v>
      </c>
      <c r="D149" s="51">
        <f t="shared" si="55"/>
        <v>0</v>
      </c>
      <c r="E149" s="51">
        <f t="shared" si="56"/>
        <v>0</v>
      </c>
      <c r="F149" s="52">
        <f t="shared" si="61"/>
        <v>0</v>
      </c>
      <c r="G149" s="52">
        <f t="shared" si="57"/>
        <v>0</v>
      </c>
      <c r="H149" s="118">
        <f t="shared" si="51"/>
        <v>0</v>
      </c>
      <c r="I149" s="117">
        <f t="shared" si="58"/>
        <v>0</v>
      </c>
      <c r="J149" s="117">
        <f t="shared" si="59"/>
        <v>0</v>
      </c>
      <c r="K149" s="117">
        <f t="shared" si="60"/>
        <v>0</v>
      </c>
      <c r="L149" s="52">
        <f t="shared" si="44"/>
        <v>0</v>
      </c>
      <c r="M149" s="52">
        <f t="shared" si="45"/>
        <v>0</v>
      </c>
      <c r="N149" s="132">
        <f t="shared" si="53"/>
        <v>0.05</v>
      </c>
      <c r="O149" s="132">
        <v>0.106</v>
      </c>
      <c r="P149" s="132">
        <v>0.018000000000000002</v>
      </c>
      <c r="Q149" s="119">
        <f t="shared" si="50"/>
        <v>0.029</v>
      </c>
      <c r="R149" s="132">
        <v>0.153</v>
      </c>
      <c r="S149" s="140">
        <v>113700</v>
      </c>
      <c r="T149" s="269">
        <f t="shared" si="49"/>
        <v>683245.5281185891</v>
      </c>
      <c r="U149" s="189">
        <f t="shared" si="54"/>
        <v>0</v>
      </c>
      <c r="V149" s="144">
        <f t="shared" si="62"/>
        <v>143</v>
      </c>
      <c r="W149" s="184">
        <f t="shared" si="63"/>
        <v>253738.12371218522</v>
      </c>
      <c r="X149" s="184">
        <f t="shared" si="64"/>
        <v>253738.12371218522</v>
      </c>
      <c r="Y149" s="184">
        <f t="shared" si="65"/>
        <v>126869.06185609261</v>
      </c>
    </row>
    <row r="150" spans="2:25" ht="15">
      <c r="B150" s="115">
        <f t="shared" si="47"/>
        <v>2058</v>
      </c>
      <c r="C150" s="116">
        <f t="shared" si="52"/>
        <v>110</v>
      </c>
      <c r="D150" s="51">
        <f t="shared" si="55"/>
        <v>0</v>
      </c>
      <c r="E150" s="51">
        <f t="shared" si="56"/>
        <v>0</v>
      </c>
      <c r="F150" s="52">
        <f t="shared" si="61"/>
        <v>0</v>
      </c>
      <c r="G150" s="52">
        <f t="shared" si="57"/>
        <v>0</v>
      </c>
      <c r="H150" s="118">
        <f aca="true" t="shared" si="66" ref="H150:H181">$U150*(($Q150*$D150)+H149)</f>
        <v>0</v>
      </c>
      <c r="I150" s="117">
        <f t="shared" si="58"/>
        <v>0</v>
      </c>
      <c r="J150" s="117">
        <f t="shared" si="59"/>
        <v>0</v>
      </c>
      <c r="K150" s="117">
        <f t="shared" si="60"/>
        <v>0</v>
      </c>
      <c r="L150" s="52">
        <f t="shared" si="44"/>
        <v>0</v>
      </c>
      <c r="M150" s="52">
        <f t="shared" si="45"/>
        <v>0</v>
      </c>
      <c r="N150" s="132">
        <f t="shared" si="53"/>
        <v>0.05</v>
      </c>
      <c r="O150" s="132">
        <v>0.106</v>
      </c>
      <c r="P150" s="132">
        <v>0.018000000000000002</v>
      </c>
      <c r="Q150" s="119">
        <f t="shared" si="50"/>
        <v>0.029</v>
      </c>
      <c r="R150" s="132">
        <v>0.153</v>
      </c>
      <c r="S150" s="140">
        <v>113700</v>
      </c>
      <c r="T150" s="269">
        <f t="shared" si="49"/>
        <v>723078.7424079028</v>
      </c>
      <c r="U150" s="189">
        <f t="shared" si="54"/>
        <v>0</v>
      </c>
      <c r="V150" s="144">
        <f t="shared" si="62"/>
        <v>144</v>
      </c>
      <c r="W150" s="184">
        <f t="shared" si="63"/>
        <v>255034.2684270724</v>
      </c>
      <c r="X150" s="184">
        <f t="shared" si="64"/>
        <v>255034.2684270724</v>
      </c>
      <c r="Y150" s="184">
        <f t="shared" si="65"/>
        <v>127517.1342135362</v>
      </c>
    </row>
    <row r="151" spans="2:25" ht="15">
      <c r="B151" s="115">
        <f t="shared" si="47"/>
        <v>2059</v>
      </c>
      <c r="C151" s="116">
        <f t="shared" si="52"/>
        <v>111</v>
      </c>
      <c r="D151" s="51">
        <f t="shared" si="55"/>
        <v>0</v>
      </c>
      <c r="E151" s="51">
        <f t="shared" si="56"/>
        <v>0</v>
      </c>
      <c r="F151" s="52">
        <f t="shared" si="61"/>
        <v>0</v>
      </c>
      <c r="G151" s="52">
        <f t="shared" si="57"/>
        <v>0</v>
      </c>
      <c r="H151" s="118">
        <f t="shared" si="66"/>
        <v>0</v>
      </c>
      <c r="I151" s="117">
        <f t="shared" si="58"/>
        <v>0</v>
      </c>
      <c r="J151" s="117">
        <f t="shared" si="59"/>
        <v>0</v>
      </c>
      <c r="K151" s="117">
        <f t="shared" si="60"/>
        <v>0</v>
      </c>
      <c r="L151" s="52">
        <f t="shared" si="44"/>
        <v>0</v>
      </c>
      <c r="M151" s="52">
        <f t="shared" si="45"/>
        <v>0</v>
      </c>
      <c r="N151" s="132">
        <f t="shared" si="53"/>
        <v>0.05</v>
      </c>
      <c r="O151" s="132">
        <v>0.106</v>
      </c>
      <c r="P151" s="132">
        <v>0.018000000000000002</v>
      </c>
      <c r="Q151" s="119">
        <f t="shared" si="50"/>
        <v>0.029</v>
      </c>
      <c r="R151" s="132">
        <v>0.153</v>
      </c>
      <c r="S151" s="140">
        <v>113700</v>
      </c>
      <c r="T151" s="269">
        <f t="shared" si="49"/>
        <v>765234.2330902836</v>
      </c>
      <c r="U151" s="189">
        <f t="shared" si="54"/>
        <v>0</v>
      </c>
      <c r="V151" s="144">
        <f t="shared" si="62"/>
        <v>145</v>
      </c>
      <c r="W151" s="184">
        <f t="shared" si="63"/>
        <v>256325.0349481219</v>
      </c>
      <c r="X151" s="184">
        <f t="shared" si="64"/>
        <v>256325.0349481219</v>
      </c>
      <c r="Y151" s="184">
        <f t="shared" si="65"/>
        <v>128162.51747406095</v>
      </c>
    </row>
    <row r="152" spans="2:25" ht="15">
      <c r="B152" s="115">
        <f t="shared" si="47"/>
        <v>2060</v>
      </c>
      <c r="C152" s="116">
        <f t="shared" si="52"/>
        <v>112</v>
      </c>
      <c r="D152" s="51">
        <f t="shared" si="55"/>
        <v>0</v>
      </c>
      <c r="E152" s="51">
        <f t="shared" si="56"/>
        <v>0</v>
      </c>
      <c r="F152" s="52">
        <f t="shared" si="61"/>
        <v>0</v>
      </c>
      <c r="G152" s="52">
        <f t="shared" si="57"/>
        <v>0</v>
      </c>
      <c r="H152" s="118">
        <f t="shared" si="66"/>
        <v>0</v>
      </c>
      <c r="I152" s="117">
        <f t="shared" si="58"/>
        <v>0</v>
      </c>
      <c r="J152" s="117">
        <f t="shared" si="59"/>
        <v>0</v>
      </c>
      <c r="K152" s="117">
        <f t="shared" si="60"/>
        <v>0</v>
      </c>
      <c r="L152" s="52">
        <f t="shared" si="44"/>
        <v>0</v>
      </c>
      <c r="M152" s="52">
        <f t="shared" si="45"/>
        <v>0</v>
      </c>
      <c r="N152" s="132">
        <f t="shared" si="53"/>
        <v>0.05</v>
      </c>
      <c r="O152" s="132">
        <v>0.106</v>
      </c>
      <c r="P152" s="132">
        <v>0.018000000000000002</v>
      </c>
      <c r="Q152" s="119">
        <f t="shared" si="50"/>
        <v>0.029</v>
      </c>
      <c r="R152" s="132">
        <v>0.153</v>
      </c>
      <c r="S152" s="140">
        <v>113700</v>
      </c>
      <c r="T152" s="269">
        <f t="shared" si="49"/>
        <v>809847.3888794471</v>
      </c>
      <c r="U152" s="189">
        <f t="shared" si="54"/>
        <v>0</v>
      </c>
      <c r="V152" s="144">
        <f t="shared" si="62"/>
        <v>146</v>
      </c>
      <c r="W152" s="184">
        <f t="shared" si="63"/>
        <v>257610.4455914907</v>
      </c>
      <c r="X152" s="184">
        <f t="shared" si="64"/>
        <v>257610.4455914907</v>
      </c>
      <c r="Y152" s="184">
        <f t="shared" si="65"/>
        <v>128805.22279574534</v>
      </c>
    </row>
    <row r="153" spans="2:25" ht="15">
      <c r="B153" s="115">
        <f t="shared" si="47"/>
        <v>2061</v>
      </c>
      <c r="C153" s="116">
        <f t="shared" si="52"/>
        <v>113</v>
      </c>
      <c r="D153" s="51">
        <f t="shared" si="55"/>
        <v>0</v>
      </c>
      <c r="E153" s="51">
        <f t="shared" si="56"/>
        <v>0</v>
      </c>
      <c r="F153" s="52">
        <f t="shared" si="61"/>
        <v>0</v>
      </c>
      <c r="G153" s="52">
        <f t="shared" si="57"/>
        <v>0</v>
      </c>
      <c r="H153" s="118">
        <f t="shared" si="66"/>
        <v>0</v>
      </c>
      <c r="I153" s="117">
        <f t="shared" si="58"/>
        <v>0</v>
      </c>
      <c r="J153" s="117">
        <f t="shared" si="59"/>
        <v>0</v>
      </c>
      <c r="K153" s="117">
        <f t="shared" si="60"/>
        <v>0</v>
      </c>
      <c r="L153" s="52">
        <f t="shared" si="44"/>
        <v>0</v>
      </c>
      <c r="M153" s="52">
        <f t="shared" si="45"/>
        <v>0</v>
      </c>
      <c r="N153" s="132">
        <f t="shared" si="53"/>
        <v>0.05</v>
      </c>
      <c r="O153" s="132">
        <v>0.106</v>
      </c>
      <c r="P153" s="132">
        <v>0.018000000000000002</v>
      </c>
      <c r="Q153" s="119">
        <f t="shared" si="50"/>
        <v>0.029</v>
      </c>
      <c r="R153" s="132">
        <v>0.153</v>
      </c>
      <c r="S153" s="140">
        <v>113700</v>
      </c>
      <c r="T153" s="269">
        <f t="shared" si="49"/>
        <v>857061.491651119</v>
      </c>
      <c r="U153" s="189">
        <f t="shared" si="54"/>
        <v>0</v>
      </c>
      <c r="V153" s="144">
        <f t="shared" si="62"/>
        <v>147</v>
      </c>
      <c r="W153" s="184">
        <f t="shared" si="63"/>
        <v>258890.5225807376</v>
      </c>
      <c r="X153" s="184">
        <f t="shared" si="64"/>
        <v>258890.5225807376</v>
      </c>
      <c r="Y153" s="184">
        <f t="shared" si="65"/>
        <v>129445.2612903688</v>
      </c>
    </row>
    <row r="154" spans="2:25" ht="15">
      <c r="B154" s="115">
        <f t="shared" si="47"/>
        <v>2062</v>
      </c>
      <c r="C154" s="116">
        <f t="shared" si="52"/>
        <v>114</v>
      </c>
      <c r="D154" s="51">
        <f t="shared" si="55"/>
        <v>0</v>
      </c>
      <c r="E154" s="51">
        <f t="shared" si="56"/>
        <v>0</v>
      </c>
      <c r="F154" s="52">
        <f t="shared" si="61"/>
        <v>0</v>
      </c>
      <c r="G154" s="52">
        <f t="shared" si="57"/>
        <v>0</v>
      </c>
      <c r="H154" s="118">
        <f t="shared" si="66"/>
        <v>0</v>
      </c>
      <c r="I154" s="117">
        <f t="shared" si="58"/>
        <v>0</v>
      </c>
      <c r="J154" s="117">
        <f t="shared" si="59"/>
        <v>0</v>
      </c>
      <c r="K154" s="117">
        <f t="shared" si="60"/>
        <v>0</v>
      </c>
      <c r="L154" s="52">
        <f t="shared" si="44"/>
        <v>0</v>
      </c>
      <c r="M154" s="52">
        <f t="shared" si="45"/>
        <v>0</v>
      </c>
      <c r="N154" s="132">
        <f t="shared" si="53"/>
        <v>0.05</v>
      </c>
      <c r="O154" s="132">
        <v>0.106</v>
      </c>
      <c r="P154" s="132">
        <v>0.018000000000000002</v>
      </c>
      <c r="Q154" s="119">
        <f t="shared" si="50"/>
        <v>0.029</v>
      </c>
      <c r="R154" s="132">
        <v>0.153</v>
      </c>
      <c r="S154" s="140">
        <v>113700</v>
      </c>
      <c r="T154" s="269">
        <f t="shared" si="49"/>
        <v>907028.1766143792</v>
      </c>
      <c r="U154" s="189">
        <f t="shared" si="54"/>
        <v>0</v>
      </c>
      <c r="V154" s="144">
        <f t="shared" si="62"/>
        <v>148</v>
      </c>
      <c r="W154" s="184">
        <f t="shared" si="63"/>
        <v>260165.28804720755</v>
      </c>
      <c r="X154" s="184">
        <f t="shared" si="64"/>
        <v>260165.28804720755</v>
      </c>
      <c r="Y154" s="184">
        <f t="shared" si="65"/>
        <v>130082.64402360377</v>
      </c>
    </row>
    <row r="155" spans="2:25" ht="15">
      <c r="B155" s="115">
        <f t="shared" si="47"/>
        <v>2063</v>
      </c>
      <c r="C155" s="116">
        <f t="shared" si="52"/>
        <v>115</v>
      </c>
      <c r="D155" s="51">
        <f t="shared" si="55"/>
        <v>0</v>
      </c>
      <c r="E155" s="51">
        <f t="shared" si="56"/>
        <v>0</v>
      </c>
      <c r="F155" s="52">
        <f t="shared" si="61"/>
        <v>0</v>
      </c>
      <c r="G155" s="52">
        <f t="shared" si="57"/>
        <v>0</v>
      </c>
      <c r="H155" s="118">
        <f t="shared" si="66"/>
        <v>0</v>
      </c>
      <c r="I155" s="117">
        <f t="shared" si="58"/>
        <v>0</v>
      </c>
      <c r="J155" s="117">
        <f t="shared" si="59"/>
        <v>0</v>
      </c>
      <c r="K155" s="117">
        <f t="shared" si="60"/>
        <v>0</v>
      </c>
      <c r="L155" s="52">
        <f t="shared" si="44"/>
        <v>0</v>
      </c>
      <c r="M155" s="52">
        <f t="shared" si="45"/>
        <v>0</v>
      </c>
      <c r="N155" s="132">
        <f t="shared" si="53"/>
        <v>0.05</v>
      </c>
      <c r="O155" s="132">
        <v>0.106</v>
      </c>
      <c r="P155" s="132">
        <v>0.018000000000000002</v>
      </c>
      <c r="Q155" s="119">
        <f t="shared" si="50"/>
        <v>0.029</v>
      </c>
      <c r="R155" s="132">
        <v>0.153</v>
      </c>
      <c r="S155" s="140">
        <v>113700</v>
      </c>
      <c r="T155" s="269">
        <f t="shared" si="49"/>
        <v>959907.9193109975</v>
      </c>
      <c r="U155" s="189">
        <f t="shared" si="54"/>
        <v>0</v>
      </c>
      <c r="V155" s="144">
        <f t="shared" si="62"/>
        <v>149</v>
      </c>
      <c r="W155" s="184">
        <f t="shared" si="63"/>
        <v>261434.76403041414</v>
      </c>
      <c r="X155" s="184">
        <f t="shared" si="64"/>
        <v>261434.76403041414</v>
      </c>
      <c r="Y155" s="184">
        <f t="shared" si="65"/>
        <v>130717.38201520707</v>
      </c>
    </row>
    <row r="156" spans="2:25" ht="15">
      <c r="B156" s="115">
        <f t="shared" si="47"/>
        <v>2064</v>
      </c>
      <c r="C156" s="116">
        <f t="shared" si="52"/>
        <v>116</v>
      </c>
      <c r="D156" s="51">
        <f t="shared" si="55"/>
        <v>0</v>
      </c>
      <c r="E156" s="51">
        <f t="shared" si="56"/>
        <v>0</v>
      </c>
      <c r="F156" s="52">
        <f t="shared" si="61"/>
        <v>0</v>
      </c>
      <c r="G156" s="52">
        <f t="shared" si="57"/>
        <v>0</v>
      </c>
      <c r="H156" s="118">
        <f t="shared" si="66"/>
        <v>0</v>
      </c>
      <c r="I156" s="117">
        <f t="shared" si="58"/>
        <v>0</v>
      </c>
      <c r="J156" s="117">
        <f t="shared" si="59"/>
        <v>0</v>
      </c>
      <c r="K156" s="117">
        <f t="shared" si="60"/>
        <v>0</v>
      </c>
      <c r="L156" s="52">
        <f t="shared" si="44"/>
        <v>0</v>
      </c>
      <c r="M156" s="52">
        <f t="shared" si="45"/>
        <v>0</v>
      </c>
      <c r="N156" s="132">
        <f t="shared" si="53"/>
        <v>0.05</v>
      </c>
      <c r="O156" s="132">
        <v>0.106</v>
      </c>
      <c r="P156" s="132">
        <v>0.018000000000000002</v>
      </c>
      <c r="Q156" s="119">
        <f t="shared" si="50"/>
        <v>0.029</v>
      </c>
      <c r="R156" s="132">
        <v>0.153</v>
      </c>
      <c r="S156" s="140">
        <v>113700</v>
      </c>
      <c r="T156" s="269">
        <f t="shared" si="49"/>
        <v>1015870.5510068287</v>
      </c>
      <c r="U156" s="189">
        <f t="shared" si="54"/>
        <v>0</v>
      </c>
      <c r="V156" s="144">
        <f t="shared" si="62"/>
        <v>150</v>
      </c>
      <c r="W156" s="184">
        <f t="shared" si="63"/>
        <v>262698.9724784207</v>
      </c>
      <c r="X156" s="184">
        <f t="shared" si="64"/>
        <v>262698.9724784207</v>
      </c>
      <c r="Y156" s="184">
        <f t="shared" si="65"/>
        <v>131349.48623921035</v>
      </c>
    </row>
    <row r="157" spans="2:25" ht="15">
      <c r="B157" s="115">
        <f t="shared" si="47"/>
        <v>2065</v>
      </c>
      <c r="C157" s="116">
        <f aca="true" t="shared" si="67" ref="C157:C188">IF(($B157-$F$15)&gt;0,($B157-$F$15),0)</f>
        <v>117</v>
      </c>
      <c r="D157" s="51">
        <f t="shared" si="55"/>
        <v>0</v>
      </c>
      <c r="E157" s="51">
        <f t="shared" si="56"/>
        <v>0</v>
      </c>
      <c r="F157" s="52">
        <f t="shared" si="61"/>
        <v>0</v>
      </c>
      <c r="G157" s="52">
        <f t="shared" si="57"/>
        <v>0</v>
      </c>
      <c r="H157" s="118">
        <f t="shared" si="66"/>
        <v>0</v>
      </c>
      <c r="I157" s="117">
        <f t="shared" si="58"/>
        <v>0</v>
      </c>
      <c r="J157" s="117">
        <f t="shared" si="59"/>
        <v>0</v>
      </c>
      <c r="K157" s="117">
        <f t="shared" si="60"/>
        <v>0</v>
      </c>
      <c r="L157" s="52">
        <f t="shared" si="44"/>
        <v>0</v>
      </c>
      <c r="M157" s="52">
        <f t="shared" si="45"/>
        <v>0</v>
      </c>
      <c r="N157" s="132">
        <f aca="true" t="shared" si="68" ref="N157:N188">$F$20</f>
        <v>0.05</v>
      </c>
      <c r="O157" s="132">
        <v>0.106</v>
      </c>
      <c r="P157" s="132">
        <v>0.018000000000000002</v>
      </c>
      <c r="Q157" s="119">
        <f t="shared" si="50"/>
        <v>0.029</v>
      </c>
      <c r="R157" s="132">
        <v>0.153</v>
      </c>
      <c r="S157" s="140">
        <v>113700</v>
      </c>
      <c r="T157" s="269">
        <f t="shared" si="49"/>
        <v>1075095.8041305267</v>
      </c>
      <c r="U157" s="189">
        <f aca="true" t="shared" si="69" ref="U157:U188">IF((B157&lt;($F$16+$F$17)),1,0)*IF((B157&gt;($F$16-1)),1,0)</f>
        <v>0</v>
      </c>
      <c r="V157" s="144">
        <f t="shared" si="62"/>
        <v>151</v>
      </c>
      <c r="W157" s="184">
        <f t="shared" si="63"/>
        <v>263957.93524821976</v>
      </c>
      <c r="X157" s="184">
        <f t="shared" si="64"/>
        <v>263957.93524821976</v>
      </c>
      <c r="Y157" s="184">
        <f t="shared" si="65"/>
        <v>131978.96762410988</v>
      </c>
    </row>
    <row r="158" spans="2:25" ht="15">
      <c r="B158" s="115">
        <f t="shared" si="47"/>
        <v>2066</v>
      </c>
      <c r="C158" s="116">
        <f t="shared" si="67"/>
        <v>118</v>
      </c>
      <c r="D158" s="51">
        <f aca="true" t="shared" si="70" ref="D158:D189">$U158*IF($B158&lt;$F$16+1,IF(3=$H$18,$S158,$F$18),IF(1=$H$18,$D157*(1+($T158-$T157)/$T157),IF(2=$H$18,$D157*(1+$F$19),$S158)))</f>
        <v>0</v>
      </c>
      <c r="E158" s="51">
        <f aca="true" t="shared" si="71" ref="E158:E189">$U158*IF(B158&gt;$F$16,E157+D158,D158)</f>
        <v>0</v>
      </c>
      <c r="F158" s="52">
        <f t="shared" si="61"/>
        <v>0</v>
      </c>
      <c r="G158" s="52">
        <f aca="true" t="shared" si="72" ref="G158:G189">$U158*(IF($S158&gt;$D158,($P158*$D158),($P158*$S158))+G157)</f>
        <v>0</v>
      </c>
      <c r="H158" s="118">
        <f t="shared" si="66"/>
        <v>0</v>
      </c>
      <c r="I158" s="117">
        <f aca="true" t="shared" si="73" ref="I158:I189">$U158*(IF($S158&gt;$D158,(($O158*$D158*$N158/2)+$O158*$D158)+I157*$N158,(($O158*$S158*$N158/2)+$O158*$S158)+I157*$N158)+I157)</f>
        <v>0</v>
      </c>
      <c r="J158" s="117">
        <f aca="true" t="shared" si="74" ref="J158:J189">$U158*(IF($S158&gt;$D158,(($P158*$D158*$F$20/2)+((J157)*$F$20)+$P158*$D158),(($P158*$S158*$F$20/2)+$P158*$S158)+((+J157)*$F$20))+J157)</f>
        <v>0</v>
      </c>
      <c r="K158" s="117">
        <f aca="true" t="shared" si="75" ref="K158:K189">$U158*(IF(OR($S158&gt;$D158,$B158&gt;1963),(($Q158*$D158*$F$20/2)+((K157)*$F$20)+$Q158*$D158),(($Q158*$S158*$F$20/2)+$Q158*$S158)+((+K157)*$F$20))+K157)</f>
        <v>0</v>
      </c>
      <c r="L158" s="52">
        <f aca="true" t="shared" si="76" ref="L158:L204">SUM($I158,$J158,$K158)</f>
        <v>0</v>
      </c>
      <c r="M158" s="52">
        <f aca="true" t="shared" si="77" ref="M158:M204">$L158-($F158+$G158+$H158)</f>
        <v>0</v>
      </c>
      <c r="N158" s="132">
        <f t="shared" si="68"/>
        <v>0.05</v>
      </c>
      <c r="O158" s="132">
        <v>0.106</v>
      </c>
      <c r="P158" s="132">
        <v>0.018000000000000002</v>
      </c>
      <c r="Q158" s="119">
        <f t="shared" si="50"/>
        <v>0.029</v>
      </c>
      <c r="R158" s="132">
        <v>0.153</v>
      </c>
      <c r="S158" s="140">
        <v>113700</v>
      </c>
      <c r="T158" s="269">
        <f t="shared" si="49"/>
        <v>1137773.8895113363</v>
      </c>
      <c r="U158" s="189">
        <f t="shared" si="69"/>
        <v>0</v>
      </c>
      <c r="V158" s="144">
        <f t="shared" si="62"/>
        <v>152</v>
      </c>
      <c r="W158" s="184">
        <f t="shared" si="63"/>
        <v>265211.67410611094</v>
      </c>
      <c r="X158" s="184">
        <f t="shared" si="64"/>
        <v>265211.67410611094</v>
      </c>
      <c r="Y158" s="184">
        <f t="shared" si="65"/>
        <v>132605.83705305547</v>
      </c>
    </row>
    <row r="159" spans="2:25" ht="15">
      <c r="B159" s="115">
        <f aca="true" t="shared" si="78" ref="B159:B204">B158+1</f>
        <v>2067</v>
      </c>
      <c r="C159" s="116">
        <f t="shared" si="67"/>
        <v>119</v>
      </c>
      <c r="D159" s="51">
        <f t="shared" si="70"/>
        <v>0</v>
      </c>
      <c r="E159" s="51">
        <f t="shared" si="71"/>
        <v>0</v>
      </c>
      <c r="F159" s="52">
        <f aca="true" t="shared" si="79" ref="F159:F190">$U159*(IF($S159&gt;$D159,($O159*$D159),($O159*$S159))+F158)</f>
        <v>0</v>
      </c>
      <c r="G159" s="52">
        <f t="shared" si="72"/>
        <v>0</v>
      </c>
      <c r="H159" s="118">
        <f t="shared" si="66"/>
        <v>0</v>
      </c>
      <c r="I159" s="117">
        <f t="shared" si="73"/>
        <v>0</v>
      </c>
      <c r="J159" s="117">
        <f t="shared" si="74"/>
        <v>0</v>
      </c>
      <c r="K159" s="117">
        <f t="shared" si="75"/>
        <v>0</v>
      </c>
      <c r="L159" s="52">
        <f t="shared" si="76"/>
        <v>0</v>
      </c>
      <c r="M159" s="52">
        <f t="shared" si="77"/>
        <v>0</v>
      </c>
      <c r="N159" s="132">
        <f t="shared" si="68"/>
        <v>0.05</v>
      </c>
      <c r="O159" s="132">
        <v>0.106</v>
      </c>
      <c r="P159" s="132">
        <v>0.018000000000000002</v>
      </c>
      <c r="Q159" s="119">
        <f t="shared" si="50"/>
        <v>0.029</v>
      </c>
      <c r="R159" s="132">
        <v>0.153</v>
      </c>
      <c r="S159" s="140">
        <v>113700</v>
      </c>
      <c r="T159" s="269">
        <f t="shared" si="49"/>
        <v>1204106.1072698473</v>
      </c>
      <c r="U159" s="189">
        <f t="shared" si="69"/>
        <v>0</v>
      </c>
      <c r="V159" s="144">
        <f t="shared" si="62"/>
        <v>153</v>
      </c>
      <c r="W159" s="184">
        <f t="shared" si="63"/>
        <v>266460.2107280773</v>
      </c>
      <c r="X159" s="184">
        <f t="shared" si="64"/>
        <v>266460.2107280773</v>
      </c>
      <c r="Y159" s="184">
        <f t="shared" si="65"/>
        <v>133230.10536403864</v>
      </c>
    </row>
    <row r="160" spans="2:25" ht="15">
      <c r="B160" s="115">
        <f t="shared" si="78"/>
        <v>2068</v>
      </c>
      <c r="C160" s="116">
        <f t="shared" si="67"/>
        <v>120</v>
      </c>
      <c r="D160" s="51">
        <f t="shared" si="70"/>
        <v>0</v>
      </c>
      <c r="E160" s="51">
        <f t="shared" si="71"/>
        <v>0</v>
      </c>
      <c r="F160" s="52">
        <f t="shared" si="79"/>
        <v>0</v>
      </c>
      <c r="G160" s="52">
        <f t="shared" si="72"/>
        <v>0</v>
      </c>
      <c r="H160" s="118">
        <f t="shared" si="66"/>
        <v>0</v>
      </c>
      <c r="I160" s="117">
        <f t="shared" si="73"/>
        <v>0</v>
      </c>
      <c r="J160" s="117">
        <f t="shared" si="74"/>
        <v>0</v>
      </c>
      <c r="K160" s="117">
        <f t="shared" si="75"/>
        <v>0</v>
      </c>
      <c r="L160" s="52">
        <f t="shared" si="76"/>
        <v>0</v>
      </c>
      <c r="M160" s="52">
        <f t="shared" si="77"/>
        <v>0</v>
      </c>
      <c r="N160" s="132">
        <f t="shared" si="68"/>
        <v>0.05</v>
      </c>
      <c r="O160" s="132">
        <v>0.106</v>
      </c>
      <c r="P160" s="132">
        <v>0.018000000000000002</v>
      </c>
      <c r="Q160" s="119">
        <f t="shared" si="50"/>
        <v>0.029</v>
      </c>
      <c r="R160" s="132">
        <v>0.153</v>
      </c>
      <c r="S160" s="140">
        <v>113700</v>
      </c>
      <c r="T160" s="269">
        <f t="shared" si="49"/>
        <v>1274305.4933236793</v>
      </c>
      <c r="U160" s="189">
        <f t="shared" si="69"/>
        <v>0</v>
      </c>
      <c r="V160" s="144">
        <f t="shared" si="62"/>
        <v>154</v>
      </c>
      <c r="W160" s="184">
        <f t="shared" si="63"/>
        <v>267703.5667001599</v>
      </c>
      <c r="X160" s="184">
        <f t="shared" si="64"/>
        <v>267703.5667001599</v>
      </c>
      <c r="Y160" s="184">
        <f t="shared" si="65"/>
        <v>133851.78335007996</v>
      </c>
    </row>
    <row r="161" spans="2:25" ht="15">
      <c r="B161" s="115">
        <f t="shared" si="78"/>
        <v>2069</v>
      </c>
      <c r="C161" s="116">
        <f t="shared" si="67"/>
        <v>121</v>
      </c>
      <c r="D161" s="51">
        <f t="shared" si="70"/>
        <v>0</v>
      </c>
      <c r="E161" s="51">
        <f t="shared" si="71"/>
        <v>0</v>
      </c>
      <c r="F161" s="52">
        <f t="shared" si="79"/>
        <v>0</v>
      </c>
      <c r="G161" s="52">
        <f t="shared" si="72"/>
        <v>0</v>
      </c>
      <c r="H161" s="118">
        <f t="shared" si="66"/>
        <v>0</v>
      </c>
      <c r="I161" s="117">
        <f t="shared" si="73"/>
        <v>0</v>
      </c>
      <c r="J161" s="117">
        <f t="shared" si="74"/>
        <v>0</v>
      </c>
      <c r="K161" s="117">
        <f t="shared" si="75"/>
        <v>0</v>
      </c>
      <c r="L161" s="52">
        <f t="shared" si="76"/>
        <v>0</v>
      </c>
      <c r="M161" s="52">
        <f t="shared" si="77"/>
        <v>0</v>
      </c>
      <c r="N161" s="132">
        <f t="shared" si="68"/>
        <v>0.05</v>
      </c>
      <c r="O161" s="132">
        <v>0.106</v>
      </c>
      <c r="P161" s="132">
        <v>0.018000000000000002</v>
      </c>
      <c r="Q161" s="119">
        <f t="shared" si="50"/>
        <v>0.029</v>
      </c>
      <c r="R161" s="132">
        <v>0.153</v>
      </c>
      <c r="S161" s="140">
        <v>113700</v>
      </c>
      <c r="T161" s="269">
        <f t="shared" si="49"/>
        <v>1348597.5035844499</v>
      </c>
      <c r="U161" s="189">
        <f t="shared" si="69"/>
        <v>0</v>
      </c>
      <c r="V161" s="144">
        <f t="shared" si="62"/>
        <v>155</v>
      </c>
      <c r="W161" s="184">
        <f t="shared" si="63"/>
        <v>268941.76351883146</v>
      </c>
      <c r="X161" s="184">
        <f t="shared" si="64"/>
        <v>268941.76351883146</v>
      </c>
      <c r="Y161" s="184">
        <f t="shared" si="65"/>
        <v>134470.88175941573</v>
      </c>
    </row>
    <row r="162" spans="2:25" ht="15">
      <c r="B162" s="115">
        <f t="shared" si="78"/>
        <v>2070</v>
      </c>
      <c r="C162" s="116">
        <f t="shared" si="67"/>
        <v>122</v>
      </c>
      <c r="D162" s="51">
        <f t="shared" si="70"/>
        <v>0</v>
      </c>
      <c r="E162" s="51">
        <f t="shared" si="71"/>
        <v>0</v>
      </c>
      <c r="F162" s="52">
        <f t="shared" si="79"/>
        <v>0</v>
      </c>
      <c r="G162" s="52">
        <f t="shared" si="72"/>
        <v>0</v>
      </c>
      <c r="H162" s="118">
        <f t="shared" si="66"/>
        <v>0</v>
      </c>
      <c r="I162" s="117">
        <f t="shared" si="73"/>
        <v>0</v>
      </c>
      <c r="J162" s="117">
        <f t="shared" si="74"/>
        <v>0</v>
      </c>
      <c r="K162" s="117">
        <f t="shared" si="75"/>
        <v>0</v>
      </c>
      <c r="L162" s="52">
        <f t="shared" si="76"/>
        <v>0</v>
      </c>
      <c r="M162" s="52">
        <f t="shared" si="77"/>
        <v>0</v>
      </c>
      <c r="N162" s="132">
        <f t="shared" si="68"/>
        <v>0.05</v>
      </c>
      <c r="O162" s="132">
        <v>0.106</v>
      </c>
      <c r="P162" s="132">
        <v>0.018000000000000002</v>
      </c>
      <c r="Q162" s="119">
        <f t="shared" si="50"/>
        <v>0.029</v>
      </c>
      <c r="R162" s="132">
        <v>0.153</v>
      </c>
      <c r="S162" s="140">
        <v>113700</v>
      </c>
      <c r="T162" s="269">
        <f t="shared" si="49"/>
        <v>1427220.7380434233</v>
      </c>
      <c r="U162" s="189">
        <f t="shared" si="69"/>
        <v>0</v>
      </c>
      <c r="V162" s="144">
        <f t="shared" si="62"/>
        <v>156</v>
      </c>
      <c r="W162" s="184">
        <f t="shared" si="63"/>
        <v>270174.8225913674</v>
      </c>
      <c r="X162" s="184">
        <f t="shared" si="64"/>
        <v>270174.8225913674</v>
      </c>
      <c r="Y162" s="184">
        <f t="shared" si="65"/>
        <v>135087.4112956837</v>
      </c>
    </row>
    <row r="163" spans="2:25" ht="15">
      <c r="B163" s="115">
        <f t="shared" si="78"/>
        <v>2071</v>
      </c>
      <c r="C163" s="116">
        <f t="shared" si="67"/>
        <v>123</v>
      </c>
      <c r="D163" s="51">
        <f t="shared" si="70"/>
        <v>0</v>
      </c>
      <c r="E163" s="51">
        <f t="shared" si="71"/>
        <v>0</v>
      </c>
      <c r="F163" s="52">
        <f t="shared" si="79"/>
        <v>0</v>
      </c>
      <c r="G163" s="52">
        <f t="shared" si="72"/>
        <v>0</v>
      </c>
      <c r="H163" s="118">
        <f t="shared" si="66"/>
        <v>0</v>
      </c>
      <c r="I163" s="117">
        <f t="shared" si="73"/>
        <v>0</v>
      </c>
      <c r="J163" s="117">
        <f t="shared" si="74"/>
        <v>0</v>
      </c>
      <c r="K163" s="117">
        <f t="shared" si="75"/>
        <v>0</v>
      </c>
      <c r="L163" s="52">
        <f t="shared" si="76"/>
        <v>0</v>
      </c>
      <c r="M163" s="52">
        <f t="shared" si="77"/>
        <v>0</v>
      </c>
      <c r="N163" s="132">
        <f t="shared" si="68"/>
        <v>0.05</v>
      </c>
      <c r="O163" s="132">
        <v>0.106</v>
      </c>
      <c r="P163" s="132">
        <v>0.018000000000000002</v>
      </c>
      <c r="Q163" s="119">
        <f t="shared" si="50"/>
        <v>0.029</v>
      </c>
      <c r="R163" s="132">
        <v>0.153</v>
      </c>
      <c r="S163" s="140">
        <v>113700</v>
      </c>
      <c r="T163" s="269">
        <f t="shared" si="49"/>
        <v>1510427.7070713548</v>
      </c>
      <c r="U163" s="189">
        <f t="shared" si="69"/>
        <v>0</v>
      </c>
      <c r="V163" s="144">
        <f t="shared" si="62"/>
        <v>157</v>
      </c>
      <c r="W163" s="184">
        <f t="shared" si="63"/>
        <v>271402.7652362165</v>
      </c>
      <c r="X163" s="184">
        <f t="shared" si="64"/>
        <v>271402.7652362165</v>
      </c>
      <c r="Y163" s="184">
        <f t="shared" si="65"/>
        <v>135701.38261810824</v>
      </c>
    </row>
    <row r="164" spans="2:25" ht="15">
      <c r="B164" s="115">
        <f t="shared" si="78"/>
        <v>2072</v>
      </c>
      <c r="C164" s="116">
        <f t="shared" si="67"/>
        <v>124</v>
      </c>
      <c r="D164" s="51">
        <f t="shared" si="70"/>
        <v>0</v>
      </c>
      <c r="E164" s="51">
        <f t="shared" si="71"/>
        <v>0</v>
      </c>
      <c r="F164" s="52">
        <f t="shared" si="79"/>
        <v>0</v>
      </c>
      <c r="G164" s="52">
        <f t="shared" si="72"/>
        <v>0</v>
      </c>
      <c r="H164" s="118">
        <f t="shared" si="66"/>
        <v>0</v>
      </c>
      <c r="I164" s="117">
        <f t="shared" si="73"/>
        <v>0</v>
      </c>
      <c r="J164" s="117">
        <f t="shared" si="74"/>
        <v>0</v>
      </c>
      <c r="K164" s="117">
        <f t="shared" si="75"/>
        <v>0</v>
      </c>
      <c r="L164" s="52">
        <f t="shared" si="76"/>
        <v>0</v>
      </c>
      <c r="M164" s="52">
        <f t="shared" si="77"/>
        <v>0</v>
      </c>
      <c r="N164" s="132">
        <f t="shared" si="68"/>
        <v>0.05</v>
      </c>
      <c r="O164" s="132">
        <v>0.106</v>
      </c>
      <c r="P164" s="132">
        <v>0.018000000000000002</v>
      </c>
      <c r="Q164" s="119">
        <f t="shared" si="50"/>
        <v>0.029</v>
      </c>
      <c r="R164" s="132">
        <v>0.153</v>
      </c>
      <c r="S164" s="140">
        <v>113700</v>
      </c>
      <c r="T164" s="269">
        <f t="shared" si="49"/>
        <v>1598485.6423936149</v>
      </c>
      <c r="U164" s="189">
        <f t="shared" si="69"/>
        <v>0</v>
      </c>
      <c r="V164" s="144">
        <f t="shared" si="62"/>
        <v>158</v>
      </c>
      <c r="W164" s="184">
        <f t="shared" si="63"/>
        <v>272625.6126833691</v>
      </c>
      <c r="X164" s="184">
        <f t="shared" si="64"/>
        <v>272625.6126833691</v>
      </c>
      <c r="Y164" s="184">
        <f t="shared" si="65"/>
        <v>136312.80634168454</v>
      </c>
    </row>
    <row r="165" spans="2:25" ht="15">
      <c r="B165" s="115">
        <f t="shared" si="78"/>
        <v>2073</v>
      </c>
      <c r="C165" s="116">
        <f t="shared" si="67"/>
        <v>125</v>
      </c>
      <c r="D165" s="51">
        <f t="shared" si="70"/>
        <v>0</v>
      </c>
      <c r="E165" s="51">
        <f t="shared" si="71"/>
        <v>0</v>
      </c>
      <c r="F165" s="52">
        <f t="shared" si="79"/>
        <v>0</v>
      </c>
      <c r="G165" s="52">
        <f t="shared" si="72"/>
        <v>0</v>
      </c>
      <c r="H165" s="118">
        <f t="shared" si="66"/>
        <v>0</v>
      </c>
      <c r="I165" s="117">
        <f t="shared" si="73"/>
        <v>0</v>
      </c>
      <c r="J165" s="117">
        <f t="shared" si="74"/>
        <v>0</v>
      </c>
      <c r="K165" s="117">
        <f t="shared" si="75"/>
        <v>0</v>
      </c>
      <c r="L165" s="52">
        <f t="shared" si="76"/>
        <v>0</v>
      </c>
      <c r="M165" s="52">
        <f t="shared" si="77"/>
        <v>0</v>
      </c>
      <c r="N165" s="132">
        <f t="shared" si="68"/>
        <v>0.05</v>
      </c>
      <c r="O165" s="132">
        <v>0.106</v>
      </c>
      <c r="P165" s="132">
        <v>0.018000000000000002</v>
      </c>
      <c r="Q165" s="119">
        <f t="shared" si="50"/>
        <v>0.029</v>
      </c>
      <c r="R165" s="132">
        <v>0.153</v>
      </c>
      <c r="S165" s="140">
        <v>113700</v>
      </c>
      <c r="T165" s="269">
        <f t="shared" si="49"/>
        <v>1691677.3553451626</v>
      </c>
      <c r="U165" s="189">
        <f t="shared" si="69"/>
        <v>0</v>
      </c>
      <c r="V165" s="144">
        <f t="shared" si="62"/>
        <v>159</v>
      </c>
      <c r="W165" s="184">
        <f t="shared" si="63"/>
        <v>273843.3860747244</v>
      </c>
      <c r="X165" s="184">
        <f t="shared" si="64"/>
        <v>273843.3860747244</v>
      </c>
      <c r="Y165" s="184">
        <f t="shared" si="65"/>
        <v>136921.6930373622</v>
      </c>
    </row>
    <row r="166" spans="2:25" ht="15">
      <c r="B166" s="115">
        <f t="shared" si="78"/>
        <v>2074</v>
      </c>
      <c r="C166" s="116">
        <f t="shared" si="67"/>
        <v>126</v>
      </c>
      <c r="D166" s="51">
        <f t="shared" si="70"/>
        <v>0</v>
      </c>
      <c r="E166" s="51">
        <f t="shared" si="71"/>
        <v>0</v>
      </c>
      <c r="F166" s="52">
        <f t="shared" si="79"/>
        <v>0</v>
      </c>
      <c r="G166" s="52">
        <f t="shared" si="72"/>
        <v>0</v>
      </c>
      <c r="H166" s="118">
        <f t="shared" si="66"/>
        <v>0</v>
      </c>
      <c r="I166" s="117">
        <f t="shared" si="73"/>
        <v>0</v>
      </c>
      <c r="J166" s="117">
        <f t="shared" si="74"/>
        <v>0</v>
      </c>
      <c r="K166" s="117">
        <f t="shared" si="75"/>
        <v>0</v>
      </c>
      <c r="L166" s="52">
        <f t="shared" si="76"/>
        <v>0</v>
      </c>
      <c r="M166" s="52">
        <f t="shared" si="77"/>
        <v>0</v>
      </c>
      <c r="N166" s="132">
        <f t="shared" si="68"/>
        <v>0.05</v>
      </c>
      <c r="O166" s="132">
        <v>0.106</v>
      </c>
      <c r="P166" s="132">
        <v>0.018000000000000002</v>
      </c>
      <c r="Q166" s="119">
        <f t="shared" si="50"/>
        <v>0.029</v>
      </c>
      <c r="R166" s="132">
        <v>0.153</v>
      </c>
      <c r="S166" s="140">
        <v>113700</v>
      </c>
      <c r="T166" s="269">
        <f t="shared" si="49"/>
        <v>1790302.1451617857</v>
      </c>
      <c r="U166" s="189">
        <f t="shared" si="69"/>
        <v>0</v>
      </c>
      <c r="V166" s="144">
        <f t="shared" si="62"/>
        <v>160</v>
      </c>
      <c r="W166" s="184">
        <f t="shared" si="63"/>
        <v>275056.1064644558</v>
      </c>
      <c r="X166" s="184">
        <f t="shared" si="64"/>
        <v>275056.1064644558</v>
      </c>
      <c r="Y166" s="184">
        <f t="shared" si="65"/>
        <v>137528.0532322279</v>
      </c>
    </row>
    <row r="167" spans="2:25" ht="15">
      <c r="B167" s="115">
        <f t="shared" si="78"/>
        <v>2075</v>
      </c>
      <c r="C167" s="116">
        <f t="shared" si="67"/>
        <v>127</v>
      </c>
      <c r="D167" s="51">
        <f t="shared" si="70"/>
        <v>0</v>
      </c>
      <c r="E167" s="51">
        <f t="shared" si="71"/>
        <v>0</v>
      </c>
      <c r="F167" s="52">
        <f t="shared" si="79"/>
        <v>0</v>
      </c>
      <c r="G167" s="52">
        <f t="shared" si="72"/>
        <v>0</v>
      </c>
      <c r="H167" s="118">
        <f t="shared" si="66"/>
        <v>0</v>
      </c>
      <c r="I167" s="117">
        <f t="shared" si="73"/>
        <v>0</v>
      </c>
      <c r="J167" s="117">
        <f t="shared" si="74"/>
        <v>0</v>
      </c>
      <c r="K167" s="117">
        <f t="shared" si="75"/>
        <v>0</v>
      </c>
      <c r="L167" s="52">
        <f t="shared" si="76"/>
        <v>0</v>
      </c>
      <c r="M167" s="52">
        <f t="shared" si="77"/>
        <v>0</v>
      </c>
      <c r="N167" s="132">
        <f t="shared" si="68"/>
        <v>0.05</v>
      </c>
      <c r="O167" s="132">
        <v>0.106</v>
      </c>
      <c r="P167" s="132">
        <v>0.018000000000000002</v>
      </c>
      <c r="Q167" s="119">
        <f t="shared" si="50"/>
        <v>0.029</v>
      </c>
      <c r="R167" s="132">
        <v>0.153</v>
      </c>
      <c r="S167" s="140">
        <v>113700</v>
      </c>
      <c r="T167" s="269">
        <f t="shared" si="49"/>
        <v>1894676.760224718</v>
      </c>
      <c r="U167" s="189">
        <f t="shared" si="69"/>
        <v>0</v>
      </c>
      <c r="V167" s="144">
        <f t="shared" si="62"/>
        <v>161</v>
      </c>
      <c r="W167" s="184">
        <f t="shared" si="63"/>
        <v>276263.79481937503</v>
      </c>
      <c r="X167" s="184">
        <f t="shared" si="64"/>
        <v>276263.79481937503</v>
      </c>
      <c r="Y167" s="184">
        <f t="shared" si="65"/>
        <v>138131.89740968752</v>
      </c>
    </row>
    <row r="168" spans="2:25" ht="15">
      <c r="B168" s="115">
        <f t="shared" si="78"/>
        <v>2076</v>
      </c>
      <c r="C168" s="116">
        <f t="shared" si="67"/>
        <v>128</v>
      </c>
      <c r="D168" s="51">
        <f t="shared" si="70"/>
        <v>0</v>
      </c>
      <c r="E168" s="51">
        <f t="shared" si="71"/>
        <v>0</v>
      </c>
      <c r="F168" s="52">
        <f t="shared" si="79"/>
        <v>0</v>
      </c>
      <c r="G168" s="52">
        <f t="shared" si="72"/>
        <v>0</v>
      </c>
      <c r="H168" s="118">
        <f t="shared" si="66"/>
        <v>0</v>
      </c>
      <c r="I168" s="117">
        <f t="shared" si="73"/>
        <v>0</v>
      </c>
      <c r="J168" s="117">
        <f t="shared" si="74"/>
        <v>0</v>
      </c>
      <c r="K168" s="117">
        <f t="shared" si="75"/>
        <v>0</v>
      </c>
      <c r="L168" s="52">
        <f t="shared" si="76"/>
        <v>0</v>
      </c>
      <c r="M168" s="52">
        <f t="shared" si="77"/>
        <v>0</v>
      </c>
      <c r="N168" s="132">
        <f t="shared" si="68"/>
        <v>0.05</v>
      </c>
      <c r="O168" s="132">
        <v>0.106</v>
      </c>
      <c r="P168" s="132">
        <v>0.018000000000000002</v>
      </c>
      <c r="Q168" s="119">
        <f t="shared" si="50"/>
        <v>0.029</v>
      </c>
      <c r="R168" s="132">
        <v>0.153</v>
      </c>
      <c r="S168" s="140">
        <v>113700</v>
      </c>
      <c r="T168" s="269">
        <f aca="true" t="shared" si="80" ref="T168:T204">T167*(1+$F$19)</f>
        <v>2005136.415345819</v>
      </c>
      <c r="U168" s="189">
        <f t="shared" si="69"/>
        <v>0</v>
      </c>
      <c r="V168" s="144">
        <f t="shared" si="62"/>
        <v>162</v>
      </c>
      <c r="W168" s="184">
        <f t="shared" si="63"/>
        <v>277466.4720192946</v>
      </c>
      <c r="X168" s="184">
        <f t="shared" si="64"/>
        <v>277466.4720192946</v>
      </c>
      <c r="Y168" s="184">
        <f t="shared" si="65"/>
        <v>138733.2360096473</v>
      </c>
    </row>
    <row r="169" spans="2:25" ht="15">
      <c r="B169" s="115">
        <f t="shared" si="78"/>
        <v>2077</v>
      </c>
      <c r="C169" s="116">
        <f t="shared" si="67"/>
        <v>129</v>
      </c>
      <c r="D169" s="51">
        <f t="shared" si="70"/>
        <v>0</v>
      </c>
      <c r="E169" s="51">
        <f t="shared" si="71"/>
        <v>0</v>
      </c>
      <c r="F169" s="52">
        <f t="shared" si="79"/>
        <v>0</v>
      </c>
      <c r="G169" s="52">
        <f t="shared" si="72"/>
        <v>0</v>
      </c>
      <c r="H169" s="118">
        <f t="shared" si="66"/>
        <v>0</v>
      </c>
      <c r="I169" s="117">
        <f t="shared" si="73"/>
        <v>0</v>
      </c>
      <c r="J169" s="117">
        <f t="shared" si="74"/>
        <v>0</v>
      </c>
      <c r="K169" s="117">
        <f t="shared" si="75"/>
        <v>0</v>
      </c>
      <c r="L169" s="52">
        <f t="shared" si="76"/>
        <v>0</v>
      </c>
      <c r="M169" s="52">
        <f t="shared" si="77"/>
        <v>0</v>
      </c>
      <c r="N169" s="132">
        <f t="shared" si="68"/>
        <v>0.05</v>
      </c>
      <c r="O169" s="132">
        <v>0.106</v>
      </c>
      <c r="P169" s="132">
        <v>0.018000000000000002</v>
      </c>
      <c r="Q169" s="119">
        <f t="shared" si="50"/>
        <v>0.029</v>
      </c>
      <c r="R169" s="132">
        <v>0.153</v>
      </c>
      <c r="S169" s="140">
        <v>113700</v>
      </c>
      <c r="T169" s="269">
        <f t="shared" si="80"/>
        <v>2122035.8683604803</v>
      </c>
      <c r="U169" s="189">
        <f t="shared" si="69"/>
        <v>0</v>
      </c>
      <c r="V169" s="144">
        <f t="shared" si="62"/>
        <v>163</v>
      </c>
      <c r="W169" s="184">
        <f t="shared" si="63"/>
        <v>278664.15885738883</v>
      </c>
      <c r="X169" s="184">
        <f t="shared" si="64"/>
        <v>278664.15885738883</v>
      </c>
      <c r="Y169" s="184">
        <f t="shared" si="65"/>
        <v>139332.07942869441</v>
      </c>
    </row>
    <row r="170" spans="2:25" ht="15">
      <c r="B170" s="115">
        <f t="shared" si="78"/>
        <v>2078</v>
      </c>
      <c r="C170" s="116">
        <f t="shared" si="67"/>
        <v>130</v>
      </c>
      <c r="D170" s="51">
        <f t="shared" si="70"/>
        <v>0</v>
      </c>
      <c r="E170" s="51">
        <f t="shared" si="71"/>
        <v>0</v>
      </c>
      <c r="F170" s="52">
        <f t="shared" si="79"/>
        <v>0</v>
      </c>
      <c r="G170" s="52">
        <f t="shared" si="72"/>
        <v>0</v>
      </c>
      <c r="H170" s="118">
        <f t="shared" si="66"/>
        <v>0</v>
      </c>
      <c r="I170" s="117">
        <f t="shared" si="73"/>
        <v>0</v>
      </c>
      <c r="J170" s="117">
        <f t="shared" si="74"/>
        <v>0</v>
      </c>
      <c r="K170" s="117">
        <f t="shared" si="75"/>
        <v>0</v>
      </c>
      <c r="L170" s="52">
        <f t="shared" si="76"/>
        <v>0</v>
      </c>
      <c r="M170" s="52">
        <f t="shared" si="77"/>
        <v>0</v>
      </c>
      <c r="N170" s="132">
        <f t="shared" si="68"/>
        <v>0.05</v>
      </c>
      <c r="O170" s="132">
        <v>0.106</v>
      </c>
      <c r="P170" s="132">
        <v>0.018000000000000002</v>
      </c>
      <c r="Q170" s="119">
        <f aca="true" t="shared" si="81" ref="Q170:Q204">IF(D170&gt;249999,0.03,0.029)</f>
        <v>0.029</v>
      </c>
      <c r="R170" s="132">
        <v>0.153</v>
      </c>
      <c r="S170" s="140">
        <v>113700</v>
      </c>
      <c r="T170" s="269">
        <f t="shared" si="80"/>
        <v>2245750.5594858965</v>
      </c>
      <c r="U170" s="189">
        <f t="shared" si="69"/>
        <v>0</v>
      </c>
      <c r="V170" s="144">
        <f t="shared" si="62"/>
        <v>164</v>
      </c>
      <c r="W170" s="184">
        <f t="shared" si="63"/>
        <v>279856.8760405532</v>
      </c>
      <c r="X170" s="184">
        <f t="shared" si="64"/>
        <v>279856.8760405532</v>
      </c>
      <c r="Y170" s="184">
        <f t="shared" si="65"/>
        <v>139928.4380202766</v>
      </c>
    </row>
    <row r="171" spans="2:25" ht="15">
      <c r="B171" s="115">
        <f t="shared" si="78"/>
        <v>2079</v>
      </c>
      <c r="C171" s="116">
        <f t="shared" si="67"/>
        <v>131</v>
      </c>
      <c r="D171" s="51">
        <f t="shared" si="70"/>
        <v>0</v>
      </c>
      <c r="E171" s="51">
        <f t="shared" si="71"/>
        <v>0</v>
      </c>
      <c r="F171" s="52">
        <f t="shared" si="79"/>
        <v>0</v>
      </c>
      <c r="G171" s="52">
        <f t="shared" si="72"/>
        <v>0</v>
      </c>
      <c r="H171" s="118">
        <f t="shared" si="66"/>
        <v>0</v>
      </c>
      <c r="I171" s="117">
        <f t="shared" si="73"/>
        <v>0</v>
      </c>
      <c r="J171" s="117">
        <f t="shared" si="74"/>
        <v>0</v>
      </c>
      <c r="K171" s="117">
        <f t="shared" si="75"/>
        <v>0</v>
      </c>
      <c r="L171" s="52">
        <f t="shared" si="76"/>
        <v>0</v>
      </c>
      <c r="M171" s="52">
        <f t="shared" si="77"/>
        <v>0</v>
      </c>
      <c r="N171" s="132">
        <f t="shared" si="68"/>
        <v>0.05</v>
      </c>
      <c r="O171" s="132">
        <v>0.106</v>
      </c>
      <c r="P171" s="132">
        <v>0.018000000000000002</v>
      </c>
      <c r="Q171" s="119">
        <f t="shared" si="81"/>
        <v>0.029</v>
      </c>
      <c r="R171" s="132">
        <v>0.153</v>
      </c>
      <c r="S171" s="140">
        <v>113700</v>
      </c>
      <c r="T171" s="269">
        <f t="shared" si="80"/>
        <v>2376677.817103924</v>
      </c>
      <c r="U171" s="189">
        <f t="shared" si="69"/>
        <v>0</v>
      </c>
      <c r="V171" s="144">
        <f t="shared" si="62"/>
        <v>165</v>
      </c>
      <c r="W171" s="184">
        <f t="shared" si="63"/>
        <v>281044.64418976253</v>
      </c>
      <c r="X171" s="184">
        <f t="shared" si="64"/>
        <v>281044.64418976253</v>
      </c>
      <c r="Y171" s="184">
        <f t="shared" si="65"/>
        <v>140522.32209488127</v>
      </c>
    </row>
    <row r="172" spans="2:25" ht="15">
      <c r="B172" s="115">
        <f t="shared" si="78"/>
        <v>2080</v>
      </c>
      <c r="C172" s="116">
        <f t="shared" si="67"/>
        <v>132</v>
      </c>
      <c r="D172" s="51">
        <f t="shared" si="70"/>
        <v>0</v>
      </c>
      <c r="E172" s="51">
        <f t="shared" si="71"/>
        <v>0</v>
      </c>
      <c r="F172" s="52">
        <f t="shared" si="79"/>
        <v>0</v>
      </c>
      <c r="G172" s="52">
        <f t="shared" si="72"/>
        <v>0</v>
      </c>
      <c r="H172" s="118">
        <f t="shared" si="66"/>
        <v>0</v>
      </c>
      <c r="I172" s="117">
        <f t="shared" si="73"/>
        <v>0</v>
      </c>
      <c r="J172" s="117">
        <f t="shared" si="74"/>
        <v>0</v>
      </c>
      <c r="K172" s="117">
        <f t="shared" si="75"/>
        <v>0</v>
      </c>
      <c r="L172" s="52">
        <f t="shared" si="76"/>
        <v>0</v>
      </c>
      <c r="M172" s="52">
        <f t="shared" si="77"/>
        <v>0</v>
      </c>
      <c r="N172" s="132">
        <f t="shared" si="68"/>
        <v>0.05</v>
      </c>
      <c r="O172" s="132">
        <v>0.106</v>
      </c>
      <c r="P172" s="132">
        <v>0.018000000000000002</v>
      </c>
      <c r="Q172" s="119">
        <f t="shared" si="81"/>
        <v>0.029</v>
      </c>
      <c r="R172" s="132">
        <v>0.153</v>
      </c>
      <c r="S172" s="140">
        <v>113700</v>
      </c>
      <c r="T172" s="269">
        <f t="shared" si="80"/>
        <v>2515238.133841083</v>
      </c>
      <c r="U172" s="189">
        <f t="shared" si="69"/>
        <v>0</v>
      </c>
      <c r="V172" s="144">
        <f t="shared" si="62"/>
        <v>166</v>
      </c>
      <c r="W172" s="184">
        <f t="shared" si="63"/>
        <v>282227.4838404274</v>
      </c>
      <c r="X172" s="184">
        <f t="shared" si="64"/>
        <v>282227.4838404274</v>
      </c>
      <c r="Y172" s="184">
        <f t="shared" si="65"/>
        <v>141113.7419202137</v>
      </c>
    </row>
    <row r="173" spans="2:25" ht="15">
      <c r="B173" s="115">
        <f t="shared" si="78"/>
        <v>2081</v>
      </c>
      <c r="C173" s="116">
        <f t="shared" si="67"/>
        <v>133</v>
      </c>
      <c r="D173" s="51">
        <f t="shared" si="70"/>
        <v>0</v>
      </c>
      <c r="E173" s="51">
        <f t="shared" si="71"/>
        <v>0</v>
      </c>
      <c r="F173" s="52">
        <f t="shared" si="79"/>
        <v>0</v>
      </c>
      <c r="G173" s="52">
        <f t="shared" si="72"/>
        <v>0</v>
      </c>
      <c r="H173" s="118">
        <f t="shared" si="66"/>
        <v>0</v>
      </c>
      <c r="I173" s="117">
        <f t="shared" si="73"/>
        <v>0</v>
      </c>
      <c r="J173" s="117">
        <f t="shared" si="74"/>
        <v>0</v>
      </c>
      <c r="K173" s="117">
        <f t="shared" si="75"/>
        <v>0</v>
      </c>
      <c r="L173" s="52">
        <f t="shared" si="76"/>
        <v>0</v>
      </c>
      <c r="M173" s="52">
        <f t="shared" si="77"/>
        <v>0</v>
      </c>
      <c r="N173" s="132">
        <f t="shared" si="68"/>
        <v>0.05</v>
      </c>
      <c r="O173" s="132">
        <v>0.106</v>
      </c>
      <c r="P173" s="132">
        <v>0.018000000000000002</v>
      </c>
      <c r="Q173" s="119">
        <f t="shared" si="81"/>
        <v>0.029</v>
      </c>
      <c r="R173" s="132">
        <v>0.153</v>
      </c>
      <c r="S173" s="140">
        <v>113700</v>
      </c>
      <c r="T173" s="269">
        <f t="shared" si="80"/>
        <v>2661876.517044018</v>
      </c>
      <c r="U173" s="189">
        <f t="shared" si="69"/>
        <v>0</v>
      </c>
      <c r="V173" s="144">
        <f t="shared" si="62"/>
        <v>167</v>
      </c>
      <c r="W173" s="184">
        <f t="shared" si="63"/>
        <v>283405.4154427493</v>
      </c>
      <c r="X173" s="184">
        <f t="shared" si="64"/>
        <v>283405.4154427493</v>
      </c>
      <c r="Y173" s="184">
        <f t="shared" si="65"/>
        <v>141702.70772137464</v>
      </c>
    </row>
    <row r="174" spans="2:25" ht="15">
      <c r="B174" s="115">
        <f t="shared" si="78"/>
        <v>2082</v>
      </c>
      <c r="C174" s="116">
        <f t="shared" si="67"/>
        <v>134</v>
      </c>
      <c r="D174" s="51">
        <f t="shared" si="70"/>
        <v>0</v>
      </c>
      <c r="E174" s="51">
        <f t="shared" si="71"/>
        <v>0</v>
      </c>
      <c r="F174" s="52">
        <f t="shared" si="79"/>
        <v>0</v>
      </c>
      <c r="G174" s="52">
        <f t="shared" si="72"/>
        <v>0</v>
      </c>
      <c r="H174" s="118">
        <f t="shared" si="66"/>
        <v>0</v>
      </c>
      <c r="I174" s="117">
        <f t="shared" si="73"/>
        <v>0</v>
      </c>
      <c r="J174" s="117">
        <f t="shared" si="74"/>
        <v>0</v>
      </c>
      <c r="K174" s="117">
        <f t="shared" si="75"/>
        <v>0</v>
      </c>
      <c r="L174" s="52">
        <f t="shared" si="76"/>
        <v>0</v>
      </c>
      <c r="M174" s="52">
        <f t="shared" si="77"/>
        <v>0</v>
      </c>
      <c r="N174" s="132">
        <f t="shared" si="68"/>
        <v>0.05</v>
      </c>
      <c r="O174" s="132">
        <v>0.106</v>
      </c>
      <c r="P174" s="132">
        <v>0.018000000000000002</v>
      </c>
      <c r="Q174" s="119">
        <f t="shared" si="81"/>
        <v>0.029</v>
      </c>
      <c r="R174" s="132">
        <v>0.153</v>
      </c>
      <c r="S174" s="140">
        <v>113700</v>
      </c>
      <c r="T174" s="269">
        <f t="shared" si="80"/>
        <v>2817063.9179876843</v>
      </c>
      <c r="U174" s="189">
        <f t="shared" si="69"/>
        <v>0</v>
      </c>
      <c r="V174" s="144">
        <f t="shared" si="62"/>
        <v>168</v>
      </c>
      <c r="W174" s="184">
        <f t="shared" si="63"/>
        <v>284578.459362074</v>
      </c>
      <c r="X174" s="184">
        <f t="shared" si="64"/>
        <v>284578.459362074</v>
      </c>
      <c r="Y174" s="184">
        <f t="shared" si="65"/>
        <v>142289.229681037</v>
      </c>
    </row>
    <row r="175" spans="2:25" ht="15">
      <c r="B175" s="115">
        <f t="shared" si="78"/>
        <v>2083</v>
      </c>
      <c r="C175" s="116">
        <f t="shared" si="67"/>
        <v>135</v>
      </c>
      <c r="D175" s="51">
        <f t="shared" si="70"/>
        <v>0</v>
      </c>
      <c r="E175" s="51">
        <f t="shared" si="71"/>
        <v>0</v>
      </c>
      <c r="F175" s="52">
        <f t="shared" si="79"/>
        <v>0</v>
      </c>
      <c r="G175" s="52">
        <f t="shared" si="72"/>
        <v>0</v>
      </c>
      <c r="H175" s="118">
        <f t="shared" si="66"/>
        <v>0</v>
      </c>
      <c r="I175" s="117">
        <f t="shared" si="73"/>
        <v>0</v>
      </c>
      <c r="J175" s="117">
        <f t="shared" si="74"/>
        <v>0</v>
      </c>
      <c r="K175" s="117">
        <f t="shared" si="75"/>
        <v>0</v>
      </c>
      <c r="L175" s="52">
        <f t="shared" si="76"/>
        <v>0</v>
      </c>
      <c r="M175" s="52">
        <f t="shared" si="77"/>
        <v>0</v>
      </c>
      <c r="N175" s="132">
        <f t="shared" si="68"/>
        <v>0.05</v>
      </c>
      <c r="O175" s="132">
        <v>0.106</v>
      </c>
      <c r="P175" s="132">
        <v>0.018000000000000002</v>
      </c>
      <c r="Q175" s="119">
        <f t="shared" si="81"/>
        <v>0.029</v>
      </c>
      <c r="R175" s="132">
        <v>0.153</v>
      </c>
      <c r="S175" s="140">
        <v>113700</v>
      </c>
      <c r="T175" s="269">
        <f t="shared" si="80"/>
        <v>2981298.7444063663</v>
      </c>
      <c r="U175" s="189">
        <f t="shared" si="69"/>
        <v>0</v>
      </c>
      <c r="V175" s="144">
        <f t="shared" si="62"/>
        <v>169</v>
      </c>
      <c r="W175" s="184">
        <f t="shared" si="63"/>
        <v>285746.6358792438</v>
      </c>
      <c r="X175" s="184">
        <f t="shared" si="64"/>
        <v>285746.6358792438</v>
      </c>
      <c r="Y175" s="184">
        <f t="shared" si="65"/>
        <v>142873.3179396219</v>
      </c>
    </row>
    <row r="176" spans="2:25" ht="15">
      <c r="B176" s="115">
        <f t="shared" si="78"/>
        <v>2084</v>
      </c>
      <c r="C176" s="116">
        <f t="shared" si="67"/>
        <v>136</v>
      </c>
      <c r="D176" s="51">
        <f t="shared" si="70"/>
        <v>0</v>
      </c>
      <c r="E176" s="51">
        <f t="shared" si="71"/>
        <v>0</v>
      </c>
      <c r="F176" s="52">
        <f t="shared" si="79"/>
        <v>0</v>
      </c>
      <c r="G176" s="52">
        <f t="shared" si="72"/>
        <v>0</v>
      </c>
      <c r="H176" s="118">
        <f t="shared" si="66"/>
        <v>0</v>
      </c>
      <c r="I176" s="117">
        <f t="shared" si="73"/>
        <v>0</v>
      </c>
      <c r="J176" s="117">
        <f t="shared" si="74"/>
        <v>0</v>
      </c>
      <c r="K176" s="117">
        <f t="shared" si="75"/>
        <v>0</v>
      </c>
      <c r="L176" s="52">
        <f t="shared" si="76"/>
        <v>0</v>
      </c>
      <c r="M176" s="52">
        <f t="shared" si="77"/>
        <v>0</v>
      </c>
      <c r="N176" s="132">
        <f t="shared" si="68"/>
        <v>0.05</v>
      </c>
      <c r="O176" s="132">
        <v>0.106</v>
      </c>
      <c r="P176" s="132">
        <v>0.018000000000000002</v>
      </c>
      <c r="Q176" s="119">
        <f t="shared" si="81"/>
        <v>0.029</v>
      </c>
      <c r="R176" s="132">
        <v>0.153</v>
      </c>
      <c r="S176" s="140">
        <v>113700</v>
      </c>
      <c r="T176" s="269">
        <f t="shared" si="80"/>
        <v>3155108.4612052576</v>
      </c>
      <c r="U176" s="189">
        <f t="shared" si="69"/>
        <v>0</v>
      </c>
      <c r="V176" s="144">
        <f t="shared" si="62"/>
        <v>170</v>
      </c>
      <c r="W176" s="184">
        <f t="shared" si="63"/>
        <v>286909.96519094816</v>
      </c>
      <c r="X176" s="184">
        <f t="shared" si="64"/>
        <v>286909.96519094816</v>
      </c>
      <c r="Y176" s="184">
        <f t="shared" si="65"/>
        <v>143454.98259547408</v>
      </c>
    </row>
    <row r="177" spans="2:25" ht="15">
      <c r="B177" s="115">
        <f t="shared" si="78"/>
        <v>2085</v>
      </c>
      <c r="C177" s="116">
        <f t="shared" si="67"/>
        <v>137</v>
      </c>
      <c r="D177" s="51">
        <f t="shared" si="70"/>
        <v>0</v>
      </c>
      <c r="E177" s="51">
        <f t="shared" si="71"/>
        <v>0</v>
      </c>
      <c r="F177" s="52">
        <f t="shared" si="79"/>
        <v>0</v>
      </c>
      <c r="G177" s="52">
        <f t="shared" si="72"/>
        <v>0</v>
      </c>
      <c r="H177" s="118">
        <f t="shared" si="66"/>
        <v>0</v>
      </c>
      <c r="I177" s="117">
        <f t="shared" si="73"/>
        <v>0</v>
      </c>
      <c r="J177" s="117">
        <f t="shared" si="74"/>
        <v>0</v>
      </c>
      <c r="K177" s="117">
        <f t="shared" si="75"/>
        <v>0</v>
      </c>
      <c r="L177" s="52">
        <f t="shared" si="76"/>
        <v>0</v>
      </c>
      <c r="M177" s="52">
        <f t="shared" si="77"/>
        <v>0</v>
      </c>
      <c r="N177" s="132">
        <f t="shared" si="68"/>
        <v>0.05</v>
      </c>
      <c r="O177" s="132">
        <v>0.106</v>
      </c>
      <c r="P177" s="132">
        <v>0.018000000000000002</v>
      </c>
      <c r="Q177" s="119">
        <f t="shared" si="81"/>
        <v>0.029</v>
      </c>
      <c r="R177" s="132">
        <v>0.153</v>
      </c>
      <c r="S177" s="140">
        <v>113700</v>
      </c>
      <c r="T177" s="269">
        <f t="shared" si="80"/>
        <v>3339051.284493524</v>
      </c>
      <c r="U177" s="189">
        <f t="shared" si="69"/>
        <v>0</v>
      </c>
      <c r="V177" s="144">
        <f t="shared" si="62"/>
        <v>171</v>
      </c>
      <c r="W177" s="184">
        <f t="shared" si="63"/>
        <v>288068.46741007286</v>
      </c>
      <c r="X177" s="184">
        <f t="shared" si="64"/>
        <v>288068.46741007286</v>
      </c>
      <c r="Y177" s="184">
        <f t="shared" si="65"/>
        <v>144034.23370503643</v>
      </c>
    </row>
    <row r="178" spans="2:25" ht="15">
      <c r="B178" s="115">
        <f t="shared" si="78"/>
        <v>2086</v>
      </c>
      <c r="C178" s="116">
        <f t="shared" si="67"/>
        <v>138</v>
      </c>
      <c r="D178" s="51">
        <f t="shared" si="70"/>
        <v>0</v>
      </c>
      <c r="E178" s="51">
        <f t="shared" si="71"/>
        <v>0</v>
      </c>
      <c r="F178" s="52">
        <f t="shared" si="79"/>
        <v>0</v>
      </c>
      <c r="G178" s="52">
        <f t="shared" si="72"/>
        <v>0</v>
      </c>
      <c r="H178" s="118">
        <f t="shared" si="66"/>
        <v>0</v>
      </c>
      <c r="I178" s="117">
        <f t="shared" si="73"/>
        <v>0</v>
      </c>
      <c r="J178" s="117">
        <f t="shared" si="74"/>
        <v>0</v>
      </c>
      <c r="K178" s="117">
        <f t="shared" si="75"/>
        <v>0</v>
      </c>
      <c r="L178" s="52">
        <f t="shared" si="76"/>
        <v>0</v>
      </c>
      <c r="M178" s="52">
        <f t="shared" si="77"/>
        <v>0</v>
      </c>
      <c r="N178" s="132">
        <f t="shared" si="68"/>
        <v>0.05</v>
      </c>
      <c r="O178" s="132">
        <v>0.106</v>
      </c>
      <c r="P178" s="132">
        <v>0.018000000000000002</v>
      </c>
      <c r="Q178" s="119">
        <f t="shared" si="81"/>
        <v>0.029</v>
      </c>
      <c r="R178" s="132">
        <v>0.153</v>
      </c>
      <c r="S178" s="140">
        <v>113700</v>
      </c>
      <c r="T178" s="269">
        <f t="shared" si="80"/>
        <v>3533717.9743794966</v>
      </c>
      <c r="U178" s="189">
        <f t="shared" si="69"/>
        <v>0</v>
      </c>
      <c r="V178" s="144">
        <f t="shared" si="62"/>
        <v>172</v>
      </c>
      <c r="W178" s="184">
        <f t="shared" si="63"/>
        <v>289222.1625660476</v>
      </c>
      <c r="X178" s="184">
        <f t="shared" si="64"/>
        <v>289222.1625660476</v>
      </c>
      <c r="Y178" s="184">
        <f t="shared" si="65"/>
        <v>144611.0812830238</v>
      </c>
    </row>
    <row r="179" spans="2:25" ht="15">
      <c r="B179" s="115">
        <f t="shared" si="78"/>
        <v>2087</v>
      </c>
      <c r="C179" s="116">
        <f t="shared" si="67"/>
        <v>139</v>
      </c>
      <c r="D179" s="51">
        <f t="shared" si="70"/>
        <v>0</v>
      </c>
      <c r="E179" s="51">
        <f t="shared" si="71"/>
        <v>0</v>
      </c>
      <c r="F179" s="52">
        <f t="shared" si="79"/>
        <v>0</v>
      </c>
      <c r="G179" s="52">
        <f t="shared" si="72"/>
        <v>0</v>
      </c>
      <c r="H179" s="118">
        <f t="shared" si="66"/>
        <v>0</v>
      </c>
      <c r="I179" s="117">
        <f t="shared" si="73"/>
        <v>0</v>
      </c>
      <c r="J179" s="117">
        <f t="shared" si="74"/>
        <v>0</v>
      </c>
      <c r="K179" s="117">
        <f t="shared" si="75"/>
        <v>0</v>
      </c>
      <c r="L179" s="52">
        <f t="shared" si="76"/>
        <v>0</v>
      </c>
      <c r="M179" s="52">
        <f t="shared" si="77"/>
        <v>0</v>
      </c>
      <c r="N179" s="132">
        <f t="shared" si="68"/>
        <v>0.05</v>
      </c>
      <c r="O179" s="132">
        <v>0.106</v>
      </c>
      <c r="P179" s="132">
        <v>0.018000000000000002</v>
      </c>
      <c r="Q179" s="119">
        <f t="shared" si="81"/>
        <v>0.029</v>
      </c>
      <c r="R179" s="132">
        <v>0.153</v>
      </c>
      <c r="S179" s="140">
        <v>113700</v>
      </c>
      <c r="T179" s="269">
        <f t="shared" si="80"/>
        <v>3739733.7322858213</v>
      </c>
      <c r="U179" s="189">
        <f t="shared" si="69"/>
        <v>0</v>
      </c>
      <c r="V179" s="144">
        <f t="shared" si="62"/>
        <v>173</v>
      </c>
      <c r="W179" s="184">
        <f t="shared" si="63"/>
        <v>290371.0706051926</v>
      </c>
      <c r="X179" s="184">
        <f t="shared" si="64"/>
        <v>290371.0706051926</v>
      </c>
      <c r="Y179" s="184">
        <f t="shared" si="65"/>
        <v>145185.5353025963</v>
      </c>
    </row>
    <row r="180" spans="2:25" ht="15">
      <c r="B180" s="115">
        <f t="shared" si="78"/>
        <v>2088</v>
      </c>
      <c r="C180" s="116">
        <f t="shared" si="67"/>
        <v>140</v>
      </c>
      <c r="D180" s="51">
        <f t="shared" si="70"/>
        <v>0</v>
      </c>
      <c r="E180" s="51">
        <f t="shared" si="71"/>
        <v>0</v>
      </c>
      <c r="F180" s="52">
        <f t="shared" si="79"/>
        <v>0</v>
      </c>
      <c r="G180" s="52">
        <f t="shared" si="72"/>
        <v>0</v>
      </c>
      <c r="H180" s="118">
        <f t="shared" si="66"/>
        <v>0</v>
      </c>
      <c r="I180" s="117">
        <f t="shared" si="73"/>
        <v>0</v>
      </c>
      <c r="J180" s="117">
        <f t="shared" si="74"/>
        <v>0</v>
      </c>
      <c r="K180" s="117">
        <f t="shared" si="75"/>
        <v>0</v>
      </c>
      <c r="L180" s="52">
        <f t="shared" si="76"/>
        <v>0</v>
      </c>
      <c r="M180" s="52">
        <f t="shared" si="77"/>
        <v>0</v>
      </c>
      <c r="N180" s="132">
        <f t="shared" si="68"/>
        <v>0.05</v>
      </c>
      <c r="O180" s="132">
        <v>0.106</v>
      </c>
      <c r="P180" s="132">
        <v>0.018000000000000002</v>
      </c>
      <c r="Q180" s="119">
        <f t="shared" si="81"/>
        <v>0.029</v>
      </c>
      <c r="R180" s="132">
        <v>0.153</v>
      </c>
      <c r="S180" s="140">
        <v>113700</v>
      </c>
      <c r="T180" s="269">
        <f t="shared" si="80"/>
        <v>3957760.208878085</v>
      </c>
      <c r="U180" s="189">
        <f t="shared" si="69"/>
        <v>0</v>
      </c>
      <c r="V180" s="144">
        <f t="shared" si="62"/>
        <v>174</v>
      </c>
      <c r="W180" s="184">
        <f t="shared" si="63"/>
        <v>291515.2113910632</v>
      </c>
      <c r="X180" s="184">
        <f t="shared" si="64"/>
        <v>291515.2113910632</v>
      </c>
      <c r="Y180" s="184">
        <f t="shared" si="65"/>
        <v>145757.6056955316</v>
      </c>
    </row>
    <row r="181" spans="2:25" ht="15">
      <c r="B181" s="115">
        <f t="shared" si="78"/>
        <v>2089</v>
      </c>
      <c r="C181" s="116">
        <f t="shared" si="67"/>
        <v>141</v>
      </c>
      <c r="D181" s="51">
        <f t="shared" si="70"/>
        <v>0</v>
      </c>
      <c r="E181" s="51">
        <f t="shared" si="71"/>
        <v>0</v>
      </c>
      <c r="F181" s="52">
        <f t="shared" si="79"/>
        <v>0</v>
      </c>
      <c r="G181" s="52">
        <f t="shared" si="72"/>
        <v>0</v>
      </c>
      <c r="H181" s="118">
        <f t="shared" si="66"/>
        <v>0</v>
      </c>
      <c r="I181" s="117">
        <f t="shared" si="73"/>
        <v>0</v>
      </c>
      <c r="J181" s="117">
        <f t="shared" si="74"/>
        <v>0</v>
      </c>
      <c r="K181" s="117">
        <f t="shared" si="75"/>
        <v>0</v>
      </c>
      <c r="L181" s="52">
        <f t="shared" si="76"/>
        <v>0</v>
      </c>
      <c r="M181" s="52">
        <f t="shared" si="77"/>
        <v>0</v>
      </c>
      <c r="N181" s="132">
        <f t="shared" si="68"/>
        <v>0.05</v>
      </c>
      <c r="O181" s="132">
        <v>0.106</v>
      </c>
      <c r="P181" s="132">
        <v>0.018000000000000002</v>
      </c>
      <c r="Q181" s="119">
        <f t="shared" si="81"/>
        <v>0.029</v>
      </c>
      <c r="R181" s="132">
        <v>0.153</v>
      </c>
      <c r="S181" s="140">
        <v>113700</v>
      </c>
      <c r="T181" s="269">
        <f t="shared" si="80"/>
        <v>4188497.6290556774</v>
      </c>
      <c r="U181" s="189">
        <f t="shared" si="69"/>
        <v>0</v>
      </c>
      <c r="V181" s="144">
        <f t="shared" si="62"/>
        <v>175</v>
      </c>
      <c r="W181" s="184">
        <f t="shared" si="63"/>
        <v>292654.6047047932</v>
      </c>
      <c r="X181" s="184">
        <f t="shared" si="64"/>
        <v>292654.6047047932</v>
      </c>
      <c r="Y181" s="184">
        <f t="shared" si="65"/>
        <v>146327.3023523966</v>
      </c>
    </row>
    <row r="182" spans="2:25" ht="15">
      <c r="B182" s="115">
        <f t="shared" si="78"/>
        <v>2090</v>
      </c>
      <c r="C182" s="116">
        <f t="shared" si="67"/>
        <v>142</v>
      </c>
      <c r="D182" s="51">
        <f t="shared" si="70"/>
        <v>0</v>
      </c>
      <c r="E182" s="51">
        <f t="shared" si="71"/>
        <v>0</v>
      </c>
      <c r="F182" s="52">
        <f t="shared" si="79"/>
        <v>0</v>
      </c>
      <c r="G182" s="52">
        <f t="shared" si="72"/>
        <v>0</v>
      </c>
      <c r="H182" s="118">
        <f aca="true" t="shared" si="82" ref="H182:H204">$U182*(($Q182*$D182)+H181)</f>
        <v>0</v>
      </c>
      <c r="I182" s="117">
        <f t="shared" si="73"/>
        <v>0</v>
      </c>
      <c r="J182" s="117">
        <f t="shared" si="74"/>
        <v>0</v>
      </c>
      <c r="K182" s="117">
        <f t="shared" si="75"/>
        <v>0</v>
      </c>
      <c r="L182" s="52">
        <f t="shared" si="76"/>
        <v>0</v>
      </c>
      <c r="M182" s="52">
        <f t="shared" si="77"/>
        <v>0</v>
      </c>
      <c r="N182" s="132">
        <f t="shared" si="68"/>
        <v>0.05</v>
      </c>
      <c r="O182" s="132">
        <v>0.106</v>
      </c>
      <c r="P182" s="132">
        <v>0.018000000000000002</v>
      </c>
      <c r="Q182" s="119">
        <f t="shared" si="81"/>
        <v>0.029</v>
      </c>
      <c r="R182" s="132">
        <v>0.153</v>
      </c>
      <c r="S182" s="140">
        <v>113700</v>
      </c>
      <c r="T182" s="269">
        <f t="shared" si="80"/>
        <v>4432687.040829623</v>
      </c>
      <c r="U182" s="189">
        <f t="shared" si="69"/>
        <v>0</v>
      </c>
      <c r="V182" s="144">
        <f t="shared" si="62"/>
        <v>176</v>
      </c>
      <c r="W182" s="184">
        <f t="shared" si="63"/>
        <v>293789.2702454372</v>
      </c>
      <c r="X182" s="184">
        <f t="shared" si="64"/>
        <v>293789.2702454372</v>
      </c>
      <c r="Y182" s="184">
        <f t="shared" si="65"/>
        <v>146894.6351227186</v>
      </c>
    </row>
    <row r="183" spans="2:25" ht="15">
      <c r="B183" s="115">
        <f t="shared" si="78"/>
        <v>2091</v>
      </c>
      <c r="C183" s="116">
        <f t="shared" si="67"/>
        <v>143</v>
      </c>
      <c r="D183" s="51">
        <f t="shared" si="70"/>
        <v>0</v>
      </c>
      <c r="E183" s="51">
        <f t="shared" si="71"/>
        <v>0</v>
      </c>
      <c r="F183" s="52">
        <f t="shared" si="79"/>
        <v>0</v>
      </c>
      <c r="G183" s="52">
        <f t="shared" si="72"/>
        <v>0</v>
      </c>
      <c r="H183" s="118">
        <f t="shared" si="82"/>
        <v>0</v>
      </c>
      <c r="I183" s="117">
        <f t="shared" si="73"/>
        <v>0</v>
      </c>
      <c r="J183" s="117">
        <f t="shared" si="74"/>
        <v>0</v>
      </c>
      <c r="K183" s="117">
        <f t="shared" si="75"/>
        <v>0</v>
      </c>
      <c r="L183" s="52">
        <f t="shared" si="76"/>
        <v>0</v>
      </c>
      <c r="M183" s="52">
        <f t="shared" si="77"/>
        <v>0</v>
      </c>
      <c r="N183" s="132">
        <f t="shared" si="68"/>
        <v>0.05</v>
      </c>
      <c r="O183" s="132">
        <v>0.106</v>
      </c>
      <c r="P183" s="132">
        <v>0.018000000000000002</v>
      </c>
      <c r="Q183" s="119">
        <f t="shared" si="81"/>
        <v>0.029</v>
      </c>
      <c r="R183" s="132">
        <v>0.153</v>
      </c>
      <c r="S183" s="140">
        <v>113700</v>
      </c>
      <c r="T183" s="269">
        <f t="shared" si="80"/>
        <v>4691112.69530999</v>
      </c>
      <c r="U183" s="189">
        <f t="shared" si="69"/>
        <v>0</v>
      </c>
      <c r="V183" s="144">
        <f t="shared" si="62"/>
        <v>177</v>
      </c>
      <c r="W183" s="184">
        <f t="shared" si="63"/>
        <v>294919.2276303109</v>
      </c>
      <c r="X183" s="184">
        <f t="shared" si="64"/>
        <v>294919.2276303109</v>
      </c>
      <c r="Y183" s="184">
        <f t="shared" si="65"/>
        <v>147459.61381515546</v>
      </c>
    </row>
    <row r="184" spans="2:25" ht="15">
      <c r="B184" s="115">
        <f t="shared" si="78"/>
        <v>2092</v>
      </c>
      <c r="C184" s="116">
        <f t="shared" si="67"/>
        <v>144</v>
      </c>
      <c r="D184" s="51">
        <f t="shared" si="70"/>
        <v>0</v>
      </c>
      <c r="E184" s="51">
        <f t="shared" si="71"/>
        <v>0</v>
      </c>
      <c r="F184" s="52">
        <f t="shared" si="79"/>
        <v>0</v>
      </c>
      <c r="G184" s="52">
        <f t="shared" si="72"/>
        <v>0</v>
      </c>
      <c r="H184" s="118">
        <f t="shared" si="82"/>
        <v>0</v>
      </c>
      <c r="I184" s="117">
        <f t="shared" si="73"/>
        <v>0</v>
      </c>
      <c r="J184" s="117">
        <f t="shared" si="74"/>
        <v>0</v>
      </c>
      <c r="K184" s="117">
        <f t="shared" si="75"/>
        <v>0</v>
      </c>
      <c r="L184" s="52">
        <f t="shared" si="76"/>
        <v>0</v>
      </c>
      <c r="M184" s="52">
        <f t="shared" si="77"/>
        <v>0</v>
      </c>
      <c r="N184" s="132">
        <f t="shared" si="68"/>
        <v>0.05</v>
      </c>
      <c r="O184" s="132">
        <v>0.106</v>
      </c>
      <c r="P184" s="132">
        <v>0.018000000000000002</v>
      </c>
      <c r="Q184" s="119">
        <f t="shared" si="81"/>
        <v>0.029</v>
      </c>
      <c r="R184" s="132">
        <v>0.153</v>
      </c>
      <c r="S184" s="140">
        <v>113700</v>
      </c>
      <c r="T184" s="269">
        <f t="shared" si="80"/>
        <v>4964604.565446562</v>
      </c>
      <c r="U184" s="189">
        <f t="shared" si="69"/>
        <v>0</v>
      </c>
      <c r="V184" s="144">
        <f t="shared" si="62"/>
        <v>178</v>
      </c>
      <c r="W184" s="184">
        <f t="shared" si="63"/>
        <v>296044.49639533035</v>
      </c>
      <c r="X184" s="184">
        <f t="shared" si="64"/>
        <v>296044.49639533035</v>
      </c>
      <c r="Y184" s="184">
        <f t="shared" si="65"/>
        <v>148022.24819766518</v>
      </c>
    </row>
    <row r="185" spans="2:25" ht="15">
      <c r="B185" s="115">
        <f t="shared" si="78"/>
        <v>2093</v>
      </c>
      <c r="C185" s="116">
        <f t="shared" si="67"/>
        <v>145</v>
      </c>
      <c r="D185" s="51">
        <f t="shared" si="70"/>
        <v>0</v>
      </c>
      <c r="E185" s="51">
        <f t="shared" si="71"/>
        <v>0</v>
      </c>
      <c r="F185" s="52">
        <f t="shared" si="79"/>
        <v>0</v>
      </c>
      <c r="G185" s="52">
        <f t="shared" si="72"/>
        <v>0</v>
      </c>
      <c r="H185" s="118">
        <f t="shared" si="82"/>
        <v>0</v>
      </c>
      <c r="I185" s="117">
        <f t="shared" si="73"/>
        <v>0</v>
      </c>
      <c r="J185" s="117">
        <f t="shared" si="74"/>
        <v>0</v>
      </c>
      <c r="K185" s="117">
        <f t="shared" si="75"/>
        <v>0</v>
      </c>
      <c r="L185" s="52">
        <f t="shared" si="76"/>
        <v>0</v>
      </c>
      <c r="M185" s="52">
        <f t="shared" si="77"/>
        <v>0</v>
      </c>
      <c r="N185" s="132">
        <f t="shared" si="68"/>
        <v>0.05</v>
      </c>
      <c r="O185" s="132">
        <v>0.106</v>
      </c>
      <c r="P185" s="132">
        <v>0.018000000000000002</v>
      </c>
      <c r="Q185" s="119">
        <f t="shared" si="81"/>
        <v>0.029</v>
      </c>
      <c r="R185" s="132">
        <v>0.153</v>
      </c>
      <c r="S185" s="140">
        <v>113700</v>
      </c>
      <c r="T185" s="269">
        <f t="shared" si="80"/>
        <v>5254041.011612097</v>
      </c>
      <c r="U185" s="189">
        <f t="shared" si="69"/>
        <v>0</v>
      </c>
      <c r="V185" s="144">
        <f t="shared" si="62"/>
        <v>179</v>
      </c>
      <c r="W185" s="184">
        <f t="shared" si="63"/>
        <v>297165.09599534975</v>
      </c>
      <c r="X185" s="184">
        <f t="shared" si="64"/>
        <v>297165.09599534975</v>
      </c>
      <c r="Y185" s="184">
        <f t="shared" si="65"/>
        <v>148582.54799767488</v>
      </c>
    </row>
    <row r="186" spans="2:25" ht="15">
      <c r="B186" s="115">
        <f t="shared" si="78"/>
        <v>2094</v>
      </c>
      <c r="C186" s="116">
        <f t="shared" si="67"/>
        <v>146</v>
      </c>
      <c r="D186" s="51">
        <f t="shared" si="70"/>
        <v>0</v>
      </c>
      <c r="E186" s="51">
        <f t="shared" si="71"/>
        <v>0</v>
      </c>
      <c r="F186" s="52">
        <f t="shared" si="79"/>
        <v>0</v>
      </c>
      <c r="G186" s="52">
        <f t="shared" si="72"/>
        <v>0</v>
      </c>
      <c r="H186" s="118">
        <f t="shared" si="82"/>
        <v>0</v>
      </c>
      <c r="I186" s="117">
        <f t="shared" si="73"/>
        <v>0</v>
      </c>
      <c r="J186" s="117">
        <f t="shared" si="74"/>
        <v>0</v>
      </c>
      <c r="K186" s="117">
        <f t="shared" si="75"/>
        <v>0</v>
      </c>
      <c r="L186" s="52">
        <f t="shared" si="76"/>
        <v>0</v>
      </c>
      <c r="M186" s="52">
        <f t="shared" si="77"/>
        <v>0</v>
      </c>
      <c r="N186" s="132">
        <f t="shared" si="68"/>
        <v>0.05</v>
      </c>
      <c r="O186" s="132">
        <v>0.106</v>
      </c>
      <c r="P186" s="132">
        <v>0.018000000000000002</v>
      </c>
      <c r="Q186" s="119">
        <f t="shared" si="81"/>
        <v>0.029</v>
      </c>
      <c r="R186" s="132">
        <v>0.153</v>
      </c>
      <c r="S186" s="140">
        <v>113700</v>
      </c>
      <c r="T186" s="269">
        <f t="shared" si="80"/>
        <v>5560351.602589082</v>
      </c>
      <c r="U186" s="189">
        <f t="shared" si="69"/>
        <v>0</v>
      </c>
      <c r="V186" s="144">
        <f t="shared" si="62"/>
        <v>180</v>
      </c>
      <c r="W186" s="184">
        <f t="shared" si="63"/>
        <v>298281.04580449767</v>
      </c>
      <c r="X186" s="184">
        <f t="shared" si="64"/>
        <v>298281.04580449767</v>
      </c>
      <c r="Y186" s="184">
        <f t="shared" si="65"/>
        <v>149140.52290224883</v>
      </c>
    </row>
    <row r="187" spans="2:25" ht="15">
      <c r="B187" s="115">
        <f t="shared" si="78"/>
        <v>2095</v>
      </c>
      <c r="C187" s="116">
        <f t="shared" si="67"/>
        <v>147</v>
      </c>
      <c r="D187" s="51">
        <f t="shared" si="70"/>
        <v>0</v>
      </c>
      <c r="E187" s="51">
        <f t="shared" si="71"/>
        <v>0</v>
      </c>
      <c r="F187" s="52">
        <f t="shared" si="79"/>
        <v>0</v>
      </c>
      <c r="G187" s="52">
        <f t="shared" si="72"/>
        <v>0</v>
      </c>
      <c r="H187" s="118">
        <f t="shared" si="82"/>
        <v>0</v>
      </c>
      <c r="I187" s="117">
        <f t="shared" si="73"/>
        <v>0</v>
      </c>
      <c r="J187" s="117">
        <f t="shared" si="74"/>
        <v>0</v>
      </c>
      <c r="K187" s="117">
        <f t="shared" si="75"/>
        <v>0</v>
      </c>
      <c r="L187" s="52">
        <f t="shared" si="76"/>
        <v>0</v>
      </c>
      <c r="M187" s="52">
        <f t="shared" si="77"/>
        <v>0</v>
      </c>
      <c r="N187" s="132">
        <f t="shared" si="68"/>
        <v>0.05</v>
      </c>
      <c r="O187" s="132">
        <v>0.106</v>
      </c>
      <c r="P187" s="132">
        <v>0.018000000000000002</v>
      </c>
      <c r="Q187" s="119">
        <f t="shared" si="81"/>
        <v>0.029</v>
      </c>
      <c r="R187" s="132">
        <v>0.153</v>
      </c>
      <c r="S187" s="140">
        <v>113700</v>
      </c>
      <c r="T187" s="269">
        <f t="shared" si="80"/>
        <v>5884520.101020025</v>
      </c>
      <c r="U187" s="189">
        <f t="shared" si="69"/>
        <v>0</v>
      </c>
      <c r="V187" s="144">
        <f t="shared" si="62"/>
        <v>181</v>
      </c>
      <c r="W187" s="184">
        <f t="shared" si="63"/>
        <v>299392.36511651217</v>
      </c>
      <c r="X187" s="184">
        <f t="shared" si="64"/>
        <v>299392.36511651217</v>
      </c>
      <c r="Y187" s="184">
        <f t="shared" si="65"/>
        <v>149696.18255825609</v>
      </c>
    </row>
    <row r="188" spans="2:25" ht="15">
      <c r="B188" s="115">
        <f t="shared" si="78"/>
        <v>2096</v>
      </c>
      <c r="C188" s="116">
        <f t="shared" si="67"/>
        <v>148</v>
      </c>
      <c r="D188" s="51">
        <f t="shared" si="70"/>
        <v>0</v>
      </c>
      <c r="E188" s="51">
        <f t="shared" si="71"/>
        <v>0</v>
      </c>
      <c r="F188" s="52">
        <f t="shared" si="79"/>
        <v>0</v>
      </c>
      <c r="G188" s="52">
        <f t="shared" si="72"/>
        <v>0</v>
      </c>
      <c r="H188" s="118">
        <f t="shared" si="82"/>
        <v>0</v>
      </c>
      <c r="I188" s="117">
        <f t="shared" si="73"/>
        <v>0</v>
      </c>
      <c r="J188" s="117">
        <f t="shared" si="74"/>
        <v>0</v>
      </c>
      <c r="K188" s="117">
        <f t="shared" si="75"/>
        <v>0</v>
      </c>
      <c r="L188" s="52">
        <f t="shared" si="76"/>
        <v>0</v>
      </c>
      <c r="M188" s="52">
        <f t="shared" si="77"/>
        <v>0</v>
      </c>
      <c r="N188" s="132">
        <f t="shared" si="68"/>
        <v>0.05</v>
      </c>
      <c r="O188" s="132">
        <v>0.106</v>
      </c>
      <c r="P188" s="132">
        <v>0.018000000000000002</v>
      </c>
      <c r="Q188" s="119">
        <f t="shared" si="81"/>
        <v>0.029</v>
      </c>
      <c r="R188" s="132">
        <v>0.153</v>
      </c>
      <c r="S188" s="140">
        <v>113700</v>
      </c>
      <c r="T188" s="269">
        <f t="shared" si="80"/>
        <v>6227587.622909493</v>
      </c>
      <c r="U188" s="189">
        <f t="shared" si="69"/>
        <v>0</v>
      </c>
      <c r="V188" s="144">
        <f t="shared" si="62"/>
        <v>182</v>
      </c>
      <c r="W188" s="184">
        <f t="shared" si="63"/>
        <v>300499.07314507436</v>
      </c>
      <c r="X188" s="184">
        <f t="shared" si="64"/>
        <v>300499.07314507436</v>
      </c>
      <c r="Y188" s="184">
        <f t="shared" si="65"/>
        <v>150249.53657253718</v>
      </c>
    </row>
    <row r="189" spans="2:25" ht="15">
      <c r="B189" s="115">
        <f t="shared" si="78"/>
        <v>2097</v>
      </c>
      <c r="C189" s="116">
        <f aca="true" t="shared" si="83" ref="C189:C204">IF(($B189-$F$15)&gt;0,($B189-$F$15),0)</f>
        <v>149</v>
      </c>
      <c r="D189" s="51">
        <f t="shared" si="70"/>
        <v>0</v>
      </c>
      <c r="E189" s="51">
        <f t="shared" si="71"/>
        <v>0</v>
      </c>
      <c r="F189" s="52">
        <f t="shared" si="79"/>
        <v>0</v>
      </c>
      <c r="G189" s="52">
        <f t="shared" si="72"/>
        <v>0</v>
      </c>
      <c r="H189" s="118">
        <f t="shared" si="82"/>
        <v>0</v>
      </c>
      <c r="I189" s="117">
        <f t="shared" si="73"/>
        <v>0</v>
      </c>
      <c r="J189" s="117">
        <f t="shared" si="74"/>
        <v>0</v>
      </c>
      <c r="K189" s="117">
        <f t="shared" si="75"/>
        <v>0</v>
      </c>
      <c r="L189" s="52">
        <f t="shared" si="76"/>
        <v>0</v>
      </c>
      <c r="M189" s="52">
        <f t="shared" si="77"/>
        <v>0</v>
      </c>
      <c r="N189" s="132">
        <f aca="true" t="shared" si="84" ref="N189:N204">$F$20</f>
        <v>0.05</v>
      </c>
      <c r="O189" s="132">
        <v>0.106</v>
      </c>
      <c r="P189" s="132">
        <v>0.018000000000000002</v>
      </c>
      <c r="Q189" s="119">
        <f t="shared" si="81"/>
        <v>0.029</v>
      </c>
      <c r="R189" s="132">
        <v>0.153</v>
      </c>
      <c r="S189" s="140">
        <v>113700</v>
      </c>
      <c r="T189" s="269">
        <f t="shared" si="80"/>
        <v>6590655.981325116</v>
      </c>
      <c r="U189" s="189">
        <f aca="true" t="shared" si="85" ref="U189:U204">IF((B189&lt;($F$16+$F$17)),1,0)*IF((B189&gt;($F$16-1)),1,0)</f>
        <v>0</v>
      </c>
      <c r="V189" s="144">
        <f t="shared" si="62"/>
        <v>183</v>
      </c>
      <c r="W189" s="184">
        <f t="shared" si="63"/>
        <v>301601.1890241404</v>
      </c>
      <c r="X189" s="184">
        <f t="shared" si="64"/>
        <v>301601.1890241404</v>
      </c>
      <c r="Y189" s="184">
        <f t="shared" si="65"/>
        <v>150800.5945120702</v>
      </c>
    </row>
    <row r="190" spans="2:25" ht="15">
      <c r="B190" s="115">
        <f t="shared" si="78"/>
        <v>2098</v>
      </c>
      <c r="C190" s="116">
        <f t="shared" si="83"/>
        <v>150</v>
      </c>
      <c r="D190" s="51">
        <f aca="true" t="shared" si="86" ref="D190:D204">$U190*IF($B190&lt;$F$16+1,IF(3=$H$18,$S190,$F$18),IF(1=$H$18,$D189*(1+($T190-$T189)/$T189),IF(2=$H$18,$D189*(1+$F$19),$S190)))</f>
        <v>0</v>
      </c>
      <c r="E190" s="51">
        <f aca="true" t="shared" si="87" ref="E190:E204">$U190*IF(B190&gt;$F$16,E189+D190,D190)</f>
        <v>0</v>
      </c>
      <c r="F190" s="52">
        <f t="shared" si="79"/>
        <v>0</v>
      </c>
      <c r="G190" s="52">
        <f aca="true" t="shared" si="88" ref="G190:G204">$U190*(IF($S190&gt;$D190,($P190*$D190),($P190*$S190))+G189)</f>
        <v>0</v>
      </c>
      <c r="H190" s="118">
        <f t="shared" si="82"/>
        <v>0</v>
      </c>
      <c r="I190" s="117">
        <f aca="true" t="shared" si="89" ref="I190:I204">$U190*(IF($S190&gt;$D190,(($O190*$D190*$N190/2)+$O190*$D190)+I189*$N190,(($O190*$S190*$N190/2)+$O190*$S190)+I189*$N190)+I189)</f>
        <v>0</v>
      </c>
      <c r="J190" s="117">
        <f aca="true" t="shared" si="90" ref="J190:J204">$U190*(IF($S190&gt;$D190,(($P190*$D190*$F$20/2)+((J189)*$F$20)+$P190*$D190),(($P190*$S190*$F$20/2)+$P190*$S190)+((+J189)*$F$20))+J189)</f>
        <v>0</v>
      </c>
      <c r="K190" s="117">
        <f aca="true" t="shared" si="91" ref="K190:K204">$U190*(IF(OR($S190&gt;$D190,$B190&gt;1963),(($Q190*$D190*$F$20/2)+((K189)*$F$20)+$Q190*$D190),(($Q190*$S190*$F$20/2)+$Q190*$S190)+((+K189)*$F$20))+K189)</f>
        <v>0</v>
      </c>
      <c r="L190" s="52">
        <f t="shared" si="76"/>
        <v>0</v>
      </c>
      <c r="M190" s="52">
        <f t="shared" si="77"/>
        <v>0</v>
      </c>
      <c r="N190" s="132">
        <f t="shared" si="84"/>
        <v>0.05</v>
      </c>
      <c r="O190" s="132">
        <v>0.106</v>
      </c>
      <c r="P190" s="132">
        <v>0.018000000000000002</v>
      </c>
      <c r="Q190" s="119">
        <f t="shared" si="81"/>
        <v>0.029</v>
      </c>
      <c r="R190" s="132">
        <v>0.153</v>
      </c>
      <c r="S190" s="140">
        <v>113700</v>
      </c>
      <c r="T190" s="269">
        <f t="shared" si="80"/>
        <v>6974891.225036371</v>
      </c>
      <c r="U190" s="189">
        <f t="shared" si="85"/>
        <v>0</v>
      </c>
      <c r="V190" s="144">
        <f t="shared" si="62"/>
        <v>184</v>
      </c>
      <c r="W190" s="184">
        <f t="shared" si="63"/>
        <v>302698.7318082726</v>
      </c>
      <c r="X190" s="184">
        <f t="shared" si="64"/>
        <v>302698.7318082726</v>
      </c>
      <c r="Y190" s="184">
        <f t="shared" si="65"/>
        <v>151349.3659041363</v>
      </c>
    </row>
    <row r="191" spans="2:25" ht="15">
      <c r="B191" s="115">
        <f t="shared" si="78"/>
        <v>2099</v>
      </c>
      <c r="C191" s="116">
        <f t="shared" si="83"/>
        <v>151</v>
      </c>
      <c r="D191" s="51">
        <f t="shared" si="86"/>
        <v>0</v>
      </c>
      <c r="E191" s="51">
        <f t="shared" si="87"/>
        <v>0</v>
      </c>
      <c r="F191" s="52">
        <f aca="true" t="shared" si="92" ref="F191:F204">$U191*(IF($S191&gt;$D191,($O191*$D191),($O191*$S191))+F190)</f>
        <v>0</v>
      </c>
      <c r="G191" s="52">
        <f t="shared" si="88"/>
        <v>0</v>
      </c>
      <c r="H191" s="118">
        <f t="shared" si="82"/>
        <v>0</v>
      </c>
      <c r="I191" s="117">
        <f t="shared" si="89"/>
        <v>0</v>
      </c>
      <c r="J191" s="117">
        <f t="shared" si="90"/>
        <v>0</v>
      </c>
      <c r="K191" s="117">
        <f t="shared" si="91"/>
        <v>0</v>
      </c>
      <c r="L191" s="52">
        <f t="shared" si="76"/>
        <v>0</v>
      </c>
      <c r="M191" s="52">
        <f t="shared" si="77"/>
        <v>0</v>
      </c>
      <c r="N191" s="132">
        <f t="shared" si="84"/>
        <v>0.05</v>
      </c>
      <c r="O191" s="132">
        <v>0.106</v>
      </c>
      <c r="P191" s="132">
        <v>0.018000000000000002</v>
      </c>
      <c r="Q191" s="119">
        <f t="shared" si="81"/>
        <v>0.029</v>
      </c>
      <c r="R191" s="132">
        <v>0.153</v>
      </c>
      <c r="S191" s="140">
        <v>113700</v>
      </c>
      <c r="T191" s="269">
        <f t="shared" si="80"/>
        <v>7381527.383455991</v>
      </c>
      <c r="U191" s="189">
        <f t="shared" si="85"/>
        <v>0</v>
      </c>
      <c r="V191" s="144">
        <f t="shared" si="62"/>
        <v>185</v>
      </c>
      <c r="W191" s="184">
        <f t="shared" si="63"/>
        <v>303791.72047296853</v>
      </c>
      <c r="X191" s="184">
        <f t="shared" si="64"/>
        <v>303791.72047296853</v>
      </c>
      <c r="Y191" s="184">
        <f t="shared" si="65"/>
        <v>151895.86023648427</v>
      </c>
    </row>
    <row r="192" spans="2:25" ht="15">
      <c r="B192" s="115">
        <f t="shared" si="78"/>
        <v>2100</v>
      </c>
      <c r="C192" s="116">
        <f t="shared" si="83"/>
        <v>152</v>
      </c>
      <c r="D192" s="51">
        <f t="shared" si="86"/>
        <v>0</v>
      </c>
      <c r="E192" s="51">
        <f t="shared" si="87"/>
        <v>0</v>
      </c>
      <c r="F192" s="52">
        <f t="shared" si="92"/>
        <v>0</v>
      </c>
      <c r="G192" s="52">
        <f t="shared" si="88"/>
        <v>0</v>
      </c>
      <c r="H192" s="118">
        <f t="shared" si="82"/>
        <v>0</v>
      </c>
      <c r="I192" s="117">
        <f t="shared" si="89"/>
        <v>0</v>
      </c>
      <c r="J192" s="117">
        <f t="shared" si="90"/>
        <v>0</v>
      </c>
      <c r="K192" s="117">
        <f t="shared" si="91"/>
        <v>0</v>
      </c>
      <c r="L192" s="52">
        <f t="shared" si="76"/>
        <v>0</v>
      </c>
      <c r="M192" s="52">
        <f t="shared" si="77"/>
        <v>0</v>
      </c>
      <c r="N192" s="132">
        <f t="shared" si="84"/>
        <v>0.05</v>
      </c>
      <c r="O192" s="132">
        <v>0.106</v>
      </c>
      <c r="P192" s="132">
        <v>0.018000000000000002</v>
      </c>
      <c r="Q192" s="119">
        <f t="shared" si="81"/>
        <v>0.029</v>
      </c>
      <c r="R192" s="132">
        <v>0.153</v>
      </c>
      <c r="S192" s="140">
        <v>113700</v>
      </c>
      <c r="T192" s="269">
        <f t="shared" si="80"/>
        <v>7811870.429911476</v>
      </c>
      <c r="U192" s="189">
        <f t="shared" si="85"/>
        <v>0</v>
      </c>
      <c r="V192" s="144">
        <f t="shared" si="62"/>
        <v>186</v>
      </c>
      <c r="W192" s="184">
        <f t="shared" si="63"/>
        <v>304880.1739149894</v>
      </c>
      <c r="X192" s="184">
        <f t="shared" si="64"/>
        <v>304880.1739149894</v>
      </c>
      <c r="Y192" s="184">
        <f t="shared" si="65"/>
        <v>152440.0869574947</v>
      </c>
    </row>
    <row r="193" spans="2:25" ht="15">
      <c r="B193" s="115">
        <f t="shared" si="78"/>
        <v>2101</v>
      </c>
      <c r="C193" s="116">
        <f t="shared" si="83"/>
        <v>153</v>
      </c>
      <c r="D193" s="51">
        <f t="shared" si="86"/>
        <v>0</v>
      </c>
      <c r="E193" s="51">
        <f t="shared" si="87"/>
        <v>0</v>
      </c>
      <c r="F193" s="52">
        <f t="shared" si="92"/>
        <v>0</v>
      </c>
      <c r="G193" s="52">
        <f t="shared" si="88"/>
        <v>0</v>
      </c>
      <c r="H193" s="118">
        <f t="shared" si="82"/>
        <v>0</v>
      </c>
      <c r="I193" s="117">
        <f t="shared" si="89"/>
        <v>0</v>
      </c>
      <c r="J193" s="117">
        <f t="shared" si="90"/>
        <v>0</v>
      </c>
      <c r="K193" s="117">
        <f t="shared" si="91"/>
        <v>0</v>
      </c>
      <c r="L193" s="52">
        <f t="shared" si="76"/>
        <v>0</v>
      </c>
      <c r="M193" s="52">
        <f t="shared" si="77"/>
        <v>0</v>
      </c>
      <c r="N193" s="132">
        <f t="shared" si="84"/>
        <v>0.05</v>
      </c>
      <c r="O193" s="132">
        <v>0.106</v>
      </c>
      <c r="P193" s="132">
        <v>0.018000000000000002</v>
      </c>
      <c r="Q193" s="119">
        <f t="shared" si="81"/>
        <v>0.029</v>
      </c>
      <c r="R193" s="132">
        <v>0.153</v>
      </c>
      <c r="S193" s="140">
        <v>113700</v>
      </c>
      <c r="T193" s="269">
        <f t="shared" si="80"/>
        <v>8267302.475975315</v>
      </c>
      <c r="U193" s="189">
        <f t="shared" si="85"/>
        <v>0</v>
      </c>
      <c r="V193" s="144">
        <f t="shared" si="62"/>
        <v>187</v>
      </c>
      <c r="W193" s="184">
        <f t="shared" si="63"/>
        <v>305964.1109526865</v>
      </c>
      <c r="X193" s="184">
        <f t="shared" si="64"/>
        <v>305964.1109526865</v>
      </c>
      <c r="Y193" s="184">
        <f t="shared" si="65"/>
        <v>152982.05547634326</v>
      </c>
    </row>
    <row r="194" spans="2:25" ht="15">
      <c r="B194" s="115">
        <f t="shared" si="78"/>
        <v>2102</v>
      </c>
      <c r="C194" s="116">
        <f t="shared" si="83"/>
        <v>154</v>
      </c>
      <c r="D194" s="51">
        <f t="shared" si="86"/>
        <v>0</v>
      </c>
      <c r="E194" s="51">
        <f t="shared" si="87"/>
        <v>0</v>
      </c>
      <c r="F194" s="52">
        <f t="shared" si="92"/>
        <v>0</v>
      </c>
      <c r="G194" s="52">
        <f t="shared" si="88"/>
        <v>0</v>
      </c>
      <c r="H194" s="118">
        <f t="shared" si="82"/>
        <v>0</v>
      </c>
      <c r="I194" s="117">
        <f t="shared" si="89"/>
        <v>0</v>
      </c>
      <c r="J194" s="117">
        <f t="shared" si="90"/>
        <v>0</v>
      </c>
      <c r="K194" s="117">
        <f t="shared" si="91"/>
        <v>0</v>
      </c>
      <c r="L194" s="52">
        <f t="shared" si="76"/>
        <v>0</v>
      </c>
      <c r="M194" s="52">
        <f t="shared" si="77"/>
        <v>0</v>
      </c>
      <c r="N194" s="132">
        <f t="shared" si="84"/>
        <v>0.05</v>
      </c>
      <c r="O194" s="132">
        <v>0.106</v>
      </c>
      <c r="P194" s="132">
        <v>0.018000000000000002</v>
      </c>
      <c r="Q194" s="119">
        <f t="shared" si="81"/>
        <v>0.029</v>
      </c>
      <c r="R194" s="132">
        <v>0.153</v>
      </c>
      <c r="S194" s="140">
        <v>113700</v>
      </c>
      <c r="T194" s="269">
        <f t="shared" si="80"/>
        <v>8749286.210324677</v>
      </c>
      <c r="U194" s="189">
        <f t="shared" si="85"/>
        <v>0</v>
      </c>
      <c r="V194" s="144">
        <f t="shared" si="62"/>
        <v>188</v>
      </c>
      <c r="W194" s="184">
        <f t="shared" si="63"/>
        <v>307043.5503263268</v>
      </c>
      <c r="X194" s="184">
        <f t="shared" si="64"/>
        <v>307043.5503263268</v>
      </c>
      <c r="Y194" s="184">
        <f t="shared" si="65"/>
        <v>153521.7751631634</v>
      </c>
    </row>
    <row r="195" spans="2:25" ht="15">
      <c r="B195" s="115">
        <f t="shared" si="78"/>
        <v>2103</v>
      </c>
      <c r="C195" s="116">
        <f t="shared" si="83"/>
        <v>155</v>
      </c>
      <c r="D195" s="51">
        <f t="shared" si="86"/>
        <v>0</v>
      </c>
      <c r="E195" s="51">
        <f t="shared" si="87"/>
        <v>0</v>
      </c>
      <c r="F195" s="52">
        <f t="shared" si="92"/>
        <v>0</v>
      </c>
      <c r="G195" s="52">
        <f t="shared" si="88"/>
        <v>0</v>
      </c>
      <c r="H195" s="118">
        <f t="shared" si="82"/>
        <v>0</v>
      </c>
      <c r="I195" s="117">
        <f t="shared" si="89"/>
        <v>0</v>
      </c>
      <c r="J195" s="117">
        <f t="shared" si="90"/>
        <v>0</v>
      </c>
      <c r="K195" s="117">
        <f t="shared" si="91"/>
        <v>0</v>
      </c>
      <c r="L195" s="52">
        <f t="shared" si="76"/>
        <v>0</v>
      </c>
      <c r="M195" s="52">
        <f t="shared" si="77"/>
        <v>0</v>
      </c>
      <c r="N195" s="132">
        <f t="shared" si="84"/>
        <v>0.05</v>
      </c>
      <c r="O195" s="132">
        <v>0.106</v>
      </c>
      <c r="P195" s="132">
        <v>0.018000000000000002</v>
      </c>
      <c r="Q195" s="119">
        <f t="shared" si="81"/>
        <v>0.029</v>
      </c>
      <c r="R195" s="132">
        <v>0.153</v>
      </c>
      <c r="S195" s="140">
        <v>113700</v>
      </c>
      <c r="T195" s="269">
        <f t="shared" si="80"/>
        <v>9259369.596386606</v>
      </c>
      <c r="U195" s="189">
        <f t="shared" si="85"/>
        <v>0</v>
      </c>
      <c r="V195" s="144">
        <f t="shared" si="62"/>
        <v>189</v>
      </c>
      <c r="W195" s="184">
        <f t="shared" si="63"/>
        <v>308118.51069841674</v>
      </c>
      <c r="X195" s="184">
        <f t="shared" si="64"/>
        <v>308118.51069841674</v>
      </c>
      <c r="Y195" s="184">
        <f t="shared" si="65"/>
        <v>154059.25534920837</v>
      </c>
    </row>
    <row r="196" spans="2:25" ht="15">
      <c r="B196" s="115">
        <f t="shared" si="78"/>
        <v>2104</v>
      </c>
      <c r="C196" s="116">
        <f t="shared" si="83"/>
        <v>156</v>
      </c>
      <c r="D196" s="51">
        <f t="shared" si="86"/>
        <v>0</v>
      </c>
      <c r="E196" s="51">
        <f t="shared" si="87"/>
        <v>0</v>
      </c>
      <c r="F196" s="52">
        <f t="shared" si="92"/>
        <v>0</v>
      </c>
      <c r="G196" s="52">
        <f t="shared" si="88"/>
        <v>0</v>
      </c>
      <c r="H196" s="118">
        <f t="shared" si="82"/>
        <v>0</v>
      </c>
      <c r="I196" s="117">
        <f t="shared" si="89"/>
        <v>0</v>
      </c>
      <c r="J196" s="117">
        <f t="shared" si="90"/>
        <v>0</v>
      </c>
      <c r="K196" s="117">
        <f t="shared" si="91"/>
        <v>0</v>
      </c>
      <c r="L196" s="52">
        <f t="shared" si="76"/>
        <v>0</v>
      </c>
      <c r="M196" s="52">
        <f t="shared" si="77"/>
        <v>0</v>
      </c>
      <c r="N196" s="132">
        <f t="shared" si="84"/>
        <v>0.05</v>
      </c>
      <c r="O196" s="132">
        <v>0.106</v>
      </c>
      <c r="P196" s="132">
        <v>0.018000000000000002</v>
      </c>
      <c r="Q196" s="119">
        <f t="shared" si="81"/>
        <v>0.029</v>
      </c>
      <c r="R196" s="132">
        <v>0.153</v>
      </c>
      <c r="S196" s="140">
        <v>113700</v>
      </c>
      <c r="T196" s="269">
        <f t="shared" si="80"/>
        <v>9799190.843855945</v>
      </c>
      <c r="U196" s="189">
        <f t="shared" si="85"/>
        <v>0</v>
      </c>
      <c r="V196" s="144">
        <f t="shared" si="62"/>
        <v>190</v>
      </c>
      <c r="W196" s="184">
        <f t="shared" si="63"/>
        <v>309189.01065402495</v>
      </c>
      <c r="X196" s="184">
        <f t="shared" si="64"/>
        <v>309189.01065402495</v>
      </c>
      <c r="Y196" s="184">
        <f t="shared" si="65"/>
        <v>154594.50532701248</v>
      </c>
    </row>
    <row r="197" spans="2:25" ht="15">
      <c r="B197" s="115">
        <f t="shared" si="78"/>
        <v>2105</v>
      </c>
      <c r="C197" s="116">
        <f t="shared" si="83"/>
        <v>157</v>
      </c>
      <c r="D197" s="51">
        <f t="shared" si="86"/>
        <v>0</v>
      </c>
      <c r="E197" s="51">
        <f t="shared" si="87"/>
        <v>0</v>
      </c>
      <c r="F197" s="52">
        <f t="shared" si="92"/>
        <v>0</v>
      </c>
      <c r="G197" s="52">
        <f t="shared" si="88"/>
        <v>0</v>
      </c>
      <c r="H197" s="118">
        <f t="shared" si="82"/>
        <v>0</v>
      </c>
      <c r="I197" s="117">
        <f t="shared" si="89"/>
        <v>0</v>
      </c>
      <c r="J197" s="117">
        <f t="shared" si="90"/>
        <v>0</v>
      </c>
      <c r="K197" s="117">
        <f t="shared" si="91"/>
        <v>0</v>
      </c>
      <c r="L197" s="52">
        <f t="shared" si="76"/>
        <v>0</v>
      </c>
      <c r="M197" s="52">
        <f t="shared" si="77"/>
        <v>0</v>
      </c>
      <c r="N197" s="132">
        <f t="shared" si="84"/>
        <v>0.05</v>
      </c>
      <c r="O197" s="132">
        <v>0.106</v>
      </c>
      <c r="P197" s="132">
        <v>0.018000000000000002</v>
      </c>
      <c r="Q197" s="119">
        <f t="shared" si="81"/>
        <v>0.029</v>
      </c>
      <c r="R197" s="132">
        <v>0.153</v>
      </c>
      <c r="S197" s="140">
        <v>113700</v>
      </c>
      <c r="T197" s="269">
        <f t="shared" si="80"/>
        <v>10370483.670052746</v>
      </c>
      <c r="U197" s="189">
        <f t="shared" si="85"/>
        <v>0</v>
      </c>
      <c r="V197" s="144">
        <f t="shared" si="62"/>
        <v>191</v>
      </c>
      <c r="W197" s="184">
        <f t="shared" si="63"/>
        <v>310255.0687011037</v>
      </c>
      <c r="X197" s="184">
        <f t="shared" si="64"/>
        <v>310255.0687011037</v>
      </c>
      <c r="Y197" s="184">
        <f t="shared" si="65"/>
        <v>155127.53435055184</v>
      </c>
    </row>
    <row r="198" spans="2:25" ht="15">
      <c r="B198" s="115">
        <f t="shared" si="78"/>
        <v>2106</v>
      </c>
      <c r="C198" s="116">
        <f t="shared" si="83"/>
        <v>158</v>
      </c>
      <c r="D198" s="51">
        <f t="shared" si="86"/>
        <v>0</v>
      </c>
      <c r="E198" s="51">
        <f t="shared" si="87"/>
        <v>0</v>
      </c>
      <c r="F198" s="52">
        <f t="shared" si="92"/>
        <v>0</v>
      </c>
      <c r="G198" s="52">
        <f t="shared" si="88"/>
        <v>0</v>
      </c>
      <c r="H198" s="118">
        <f t="shared" si="82"/>
        <v>0</v>
      </c>
      <c r="I198" s="117">
        <f t="shared" si="89"/>
        <v>0</v>
      </c>
      <c r="J198" s="117">
        <f t="shared" si="90"/>
        <v>0</v>
      </c>
      <c r="K198" s="117">
        <f t="shared" si="91"/>
        <v>0</v>
      </c>
      <c r="L198" s="52">
        <f t="shared" si="76"/>
        <v>0</v>
      </c>
      <c r="M198" s="52">
        <f t="shared" si="77"/>
        <v>0</v>
      </c>
      <c r="N198" s="132">
        <f t="shared" si="84"/>
        <v>0.05</v>
      </c>
      <c r="O198" s="132">
        <v>0.106</v>
      </c>
      <c r="P198" s="132">
        <v>0.018000000000000002</v>
      </c>
      <c r="Q198" s="119">
        <f t="shared" si="81"/>
        <v>0.029</v>
      </c>
      <c r="R198" s="132">
        <v>0.153</v>
      </c>
      <c r="S198" s="140">
        <v>113700</v>
      </c>
      <c r="T198" s="269">
        <f t="shared" si="80"/>
        <v>10975082.868016822</v>
      </c>
      <c r="U198" s="189">
        <f t="shared" si="85"/>
        <v>0</v>
      </c>
      <c r="V198" s="144">
        <f t="shared" si="62"/>
        <v>192</v>
      </c>
      <c r="W198" s="184">
        <f t="shared" si="63"/>
        <v>311316.7032708086</v>
      </c>
      <c r="X198" s="184">
        <f t="shared" si="64"/>
        <v>311316.7032708086</v>
      </c>
      <c r="Y198" s="184">
        <f t="shared" si="65"/>
        <v>155658.3516354043</v>
      </c>
    </row>
    <row r="199" spans="2:25" ht="15">
      <c r="B199" s="115">
        <f t="shared" si="78"/>
        <v>2107</v>
      </c>
      <c r="C199" s="116">
        <f t="shared" si="83"/>
        <v>159</v>
      </c>
      <c r="D199" s="51">
        <f t="shared" si="86"/>
        <v>0</v>
      </c>
      <c r="E199" s="51">
        <f t="shared" si="87"/>
        <v>0</v>
      </c>
      <c r="F199" s="52">
        <f t="shared" si="92"/>
        <v>0</v>
      </c>
      <c r="G199" s="52">
        <f t="shared" si="88"/>
        <v>0</v>
      </c>
      <c r="H199" s="118">
        <f t="shared" si="82"/>
        <v>0</v>
      </c>
      <c r="I199" s="117">
        <f t="shared" si="89"/>
        <v>0</v>
      </c>
      <c r="J199" s="117">
        <f t="shared" si="90"/>
        <v>0</v>
      </c>
      <c r="K199" s="117">
        <f t="shared" si="91"/>
        <v>0</v>
      </c>
      <c r="L199" s="52">
        <f t="shared" si="76"/>
        <v>0</v>
      </c>
      <c r="M199" s="52">
        <f t="shared" si="77"/>
        <v>0</v>
      </c>
      <c r="N199" s="132">
        <f t="shared" si="84"/>
        <v>0.05</v>
      </c>
      <c r="O199" s="132">
        <v>0.106</v>
      </c>
      <c r="P199" s="132">
        <v>0.018000000000000002</v>
      </c>
      <c r="Q199" s="119">
        <f t="shared" si="81"/>
        <v>0.029</v>
      </c>
      <c r="R199" s="132">
        <v>0.153</v>
      </c>
      <c r="S199" s="140">
        <v>113700</v>
      </c>
      <c r="T199" s="269">
        <f t="shared" si="80"/>
        <v>11614930.199222203</v>
      </c>
      <c r="U199" s="189">
        <f t="shared" si="85"/>
        <v>0</v>
      </c>
      <c r="V199" s="144">
        <f t="shared" si="62"/>
        <v>193</v>
      </c>
      <c r="W199" s="184">
        <f t="shared" si="63"/>
        <v>312373.9327178177</v>
      </c>
      <c r="X199" s="184">
        <f t="shared" si="64"/>
        <v>312373.9327178177</v>
      </c>
      <c r="Y199" s="184">
        <f t="shared" si="65"/>
        <v>156186.96635890886</v>
      </c>
    </row>
    <row r="200" spans="2:25" ht="15">
      <c r="B200" s="115">
        <f t="shared" si="78"/>
        <v>2108</v>
      </c>
      <c r="C200" s="116">
        <f t="shared" si="83"/>
        <v>160</v>
      </c>
      <c r="D200" s="51">
        <f t="shared" si="86"/>
        <v>0</v>
      </c>
      <c r="E200" s="51">
        <f t="shared" si="87"/>
        <v>0</v>
      </c>
      <c r="F200" s="52">
        <f t="shared" si="92"/>
        <v>0</v>
      </c>
      <c r="G200" s="52">
        <f t="shared" si="88"/>
        <v>0</v>
      </c>
      <c r="H200" s="118">
        <f t="shared" si="82"/>
        <v>0</v>
      </c>
      <c r="I200" s="117">
        <f t="shared" si="89"/>
        <v>0</v>
      </c>
      <c r="J200" s="117">
        <f t="shared" si="90"/>
        <v>0</v>
      </c>
      <c r="K200" s="117">
        <f t="shared" si="91"/>
        <v>0</v>
      </c>
      <c r="L200" s="52">
        <f t="shared" si="76"/>
        <v>0</v>
      </c>
      <c r="M200" s="52">
        <f t="shared" si="77"/>
        <v>0</v>
      </c>
      <c r="N200" s="132">
        <f t="shared" si="84"/>
        <v>0.05</v>
      </c>
      <c r="O200" s="132">
        <v>0.106</v>
      </c>
      <c r="P200" s="132">
        <v>0.018000000000000002</v>
      </c>
      <c r="Q200" s="119">
        <f t="shared" si="81"/>
        <v>0.029</v>
      </c>
      <c r="R200" s="132">
        <v>0.153</v>
      </c>
      <c r="S200" s="140">
        <v>113700</v>
      </c>
      <c r="T200" s="269">
        <f t="shared" si="80"/>
        <v>12292080.629836857</v>
      </c>
      <c r="U200" s="189">
        <f t="shared" si="85"/>
        <v>0</v>
      </c>
      <c r="V200" s="144">
        <f t="shared" si="62"/>
        <v>194</v>
      </c>
      <c r="W200" s="184">
        <f t="shared" si="63"/>
        <v>313426.77532064833</v>
      </c>
      <c r="X200" s="184">
        <f t="shared" si="64"/>
        <v>313426.77532064833</v>
      </c>
      <c r="Y200" s="184">
        <f t="shared" si="65"/>
        <v>156713.38766032417</v>
      </c>
    </row>
    <row r="201" spans="2:25" ht="15">
      <c r="B201" s="115">
        <f t="shared" si="78"/>
        <v>2109</v>
      </c>
      <c r="C201" s="116">
        <f t="shared" si="83"/>
        <v>161</v>
      </c>
      <c r="D201" s="51">
        <f t="shared" si="86"/>
        <v>0</v>
      </c>
      <c r="E201" s="51">
        <f t="shared" si="87"/>
        <v>0</v>
      </c>
      <c r="F201" s="52">
        <f t="shared" si="92"/>
        <v>0</v>
      </c>
      <c r="G201" s="52">
        <f t="shared" si="88"/>
        <v>0</v>
      </c>
      <c r="H201" s="118">
        <f t="shared" si="82"/>
        <v>0</v>
      </c>
      <c r="I201" s="117">
        <f t="shared" si="89"/>
        <v>0</v>
      </c>
      <c r="J201" s="117">
        <f t="shared" si="90"/>
        <v>0</v>
      </c>
      <c r="K201" s="117">
        <f t="shared" si="91"/>
        <v>0</v>
      </c>
      <c r="L201" s="52">
        <f t="shared" si="76"/>
        <v>0</v>
      </c>
      <c r="M201" s="52">
        <f t="shared" si="77"/>
        <v>0</v>
      </c>
      <c r="N201" s="132">
        <f t="shared" si="84"/>
        <v>0.05</v>
      </c>
      <c r="O201" s="132">
        <v>0.106</v>
      </c>
      <c r="P201" s="132">
        <v>0.018000000000000002</v>
      </c>
      <c r="Q201" s="119">
        <f t="shared" si="81"/>
        <v>0.029</v>
      </c>
      <c r="R201" s="132">
        <v>0.153</v>
      </c>
      <c r="S201" s="140">
        <v>113700</v>
      </c>
      <c r="T201" s="269">
        <f t="shared" si="80"/>
        <v>13008708.930556346</v>
      </c>
      <c r="U201" s="189">
        <f t="shared" si="85"/>
        <v>0</v>
      </c>
      <c r="V201" s="144">
        <f aca="true" t="shared" si="93" ref="V201:V264">1+V200</f>
        <v>195</v>
      </c>
      <c r="W201" s="184">
        <f aca="true" t="shared" si="94" ref="W201:W264">IF($V201&lt;12*$Q$17,W200+$Q$16*POWER(1+$Q$15/12,-($V201-1)),0)</f>
        <v>314475.24928197346</v>
      </c>
      <c r="X201" s="184">
        <f aca="true" t="shared" si="95" ref="X201:X264">IF($V201&lt;12*$Q$18,X200+$Q$16*POWER(1+$Q$15/12,-($V201-1)),0)</f>
        <v>314475.24928197346</v>
      </c>
      <c r="Y201" s="184">
        <f aca="true" t="shared" si="96" ref="Y201:Y264">IF(AND($V201&lt;12*$Q$17,$V201&lt;12*$Q$18),Y200+($Q$16/2)*POWER(1+$Q$15/12,-($V201-1)),0)</f>
        <v>157237.62464098673</v>
      </c>
    </row>
    <row r="202" spans="2:25" ht="15">
      <c r="B202" s="115">
        <f t="shared" si="78"/>
        <v>2110</v>
      </c>
      <c r="C202" s="116">
        <f t="shared" si="83"/>
        <v>162</v>
      </c>
      <c r="D202" s="51">
        <f t="shared" si="86"/>
        <v>0</v>
      </c>
      <c r="E202" s="51">
        <f t="shared" si="87"/>
        <v>0</v>
      </c>
      <c r="F202" s="52">
        <f t="shared" si="92"/>
        <v>0</v>
      </c>
      <c r="G202" s="52">
        <f t="shared" si="88"/>
        <v>0</v>
      </c>
      <c r="H202" s="118">
        <f t="shared" si="82"/>
        <v>0</v>
      </c>
      <c r="I202" s="117">
        <f t="shared" si="89"/>
        <v>0</v>
      </c>
      <c r="J202" s="117">
        <f t="shared" si="90"/>
        <v>0</v>
      </c>
      <c r="K202" s="117">
        <f t="shared" si="91"/>
        <v>0</v>
      </c>
      <c r="L202" s="52">
        <f t="shared" si="76"/>
        <v>0</v>
      </c>
      <c r="M202" s="52">
        <f t="shared" si="77"/>
        <v>0</v>
      </c>
      <c r="N202" s="132">
        <f t="shared" si="84"/>
        <v>0.05</v>
      </c>
      <c r="O202" s="132">
        <v>0.106</v>
      </c>
      <c r="P202" s="132">
        <v>0.018000000000000002</v>
      </c>
      <c r="Q202" s="119">
        <f t="shared" si="81"/>
        <v>0.029</v>
      </c>
      <c r="R202" s="132">
        <v>0.153</v>
      </c>
      <c r="S202" s="140">
        <v>113700</v>
      </c>
      <c r="T202" s="269">
        <f t="shared" si="80"/>
        <v>13767116.66120778</v>
      </c>
      <c r="U202" s="189">
        <f t="shared" si="85"/>
        <v>0</v>
      </c>
      <c r="V202" s="144">
        <f t="shared" si="93"/>
        <v>196</v>
      </c>
      <c r="W202" s="184">
        <f t="shared" si="94"/>
        <v>315519.3727289362</v>
      </c>
      <c r="X202" s="184">
        <f t="shared" si="95"/>
        <v>315519.3727289362</v>
      </c>
      <c r="Y202" s="184">
        <f t="shared" si="96"/>
        <v>157759.6863644681</v>
      </c>
    </row>
    <row r="203" spans="2:25" ht="15">
      <c r="B203" s="115">
        <f t="shared" si="78"/>
        <v>2111</v>
      </c>
      <c r="C203" s="116">
        <f t="shared" si="83"/>
        <v>163</v>
      </c>
      <c r="D203" s="51">
        <f t="shared" si="86"/>
        <v>0</v>
      </c>
      <c r="E203" s="51">
        <f t="shared" si="87"/>
        <v>0</v>
      </c>
      <c r="F203" s="52">
        <f t="shared" si="92"/>
        <v>0</v>
      </c>
      <c r="G203" s="52">
        <f t="shared" si="88"/>
        <v>0</v>
      </c>
      <c r="H203" s="118">
        <f t="shared" si="82"/>
        <v>0</v>
      </c>
      <c r="I203" s="117">
        <f t="shared" si="89"/>
        <v>0</v>
      </c>
      <c r="J203" s="117">
        <f t="shared" si="90"/>
        <v>0</v>
      </c>
      <c r="K203" s="117">
        <f t="shared" si="91"/>
        <v>0</v>
      </c>
      <c r="L203" s="52">
        <f t="shared" si="76"/>
        <v>0</v>
      </c>
      <c r="M203" s="52">
        <f t="shared" si="77"/>
        <v>0</v>
      </c>
      <c r="N203" s="132">
        <f t="shared" si="84"/>
        <v>0.05</v>
      </c>
      <c r="O203" s="132">
        <v>0.106</v>
      </c>
      <c r="P203" s="132">
        <v>0.018000000000000002</v>
      </c>
      <c r="Q203" s="119">
        <f t="shared" si="81"/>
        <v>0.029</v>
      </c>
      <c r="R203" s="132">
        <v>0.153</v>
      </c>
      <c r="S203" s="140">
        <v>113700</v>
      </c>
      <c r="T203" s="269">
        <f t="shared" si="80"/>
        <v>14569739.562556194</v>
      </c>
      <c r="U203" s="189">
        <f t="shared" si="85"/>
        <v>0</v>
      </c>
      <c r="V203" s="144">
        <f t="shared" si="93"/>
        <v>197</v>
      </c>
      <c r="W203" s="184">
        <f t="shared" si="94"/>
        <v>316559.1637134634</v>
      </c>
      <c r="X203" s="184">
        <f t="shared" si="95"/>
        <v>316559.1637134634</v>
      </c>
      <c r="Y203" s="184">
        <f t="shared" si="96"/>
        <v>158279.5818567317</v>
      </c>
    </row>
    <row r="204" spans="2:25" ht="15">
      <c r="B204" s="115">
        <f t="shared" si="78"/>
        <v>2112</v>
      </c>
      <c r="C204" s="116">
        <f t="shared" si="83"/>
        <v>164</v>
      </c>
      <c r="D204" s="51">
        <f t="shared" si="86"/>
        <v>0</v>
      </c>
      <c r="E204" s="51">
        <f t="shared" si="87"/>
        <v>0</v>
      </c>
      <c r="F204" s="52">
        <f t="shared" si="92"/>
        <v>0</v>
      </c>
      <c r="G204" s="52">
        <f t="shared" si="88"/>
        <v>0</v>
      </c>
      <c r="H204" s="118">
        <f t="shared" si="82"/>
        <v>0</v>
      </c>
      <c r="I204" s="117">
        <f t="shared" si="89"/>
        <v>0</v>
      </c>
      <c r="J204" s="117">
        <f t="shared" si="90"/>
        <v>0</v>
      </c>
      <c r="K204" s="117">
        <f t="shared" si="91"/>
        <v>0</v>
      </c>
      <c r="L204" s="52">
        <f t="shared" si="76"/>
        <v>0</v>
      </c>
      <c r="M204" s="52">
        <f t="shared" si="77"/>
        <v>0</v>
      </c>
      <c r="N204" s="132">
        <f t="shared" si="84"/>
        <v>0.05</v>
      </c>
      <c r="O204" s="132">
        <v>0.106</v>
      </c>
      <c r="P204" s="132">
        <v>0.018000000000000002</v>
      </c>
      <c r="Q204" s="119">
        <f t="shared" si="81"/>
        <v>0.029</v>
      </c>
      <c r="R204" s="132">
        <v>0.153</v>
      </c>
      <c r="S204" s="140">
        <v>113700</v>
      </c>
      <c r="T204" s="269">
        <f t="shared" si="80"/>
        <v>15419155.37905322</v>
      </c>
      <c r="U204" s="189">
        <f t="shared" si="85"/>
        <v>0</v>
      </c>
      <c r="V204" s="144">
        <f t="shared" si="93"/>
        <v>198</v>
      </c>
      <c r="W204" s="184">
        <f t="shared" si="94"/>
        <v>317594.64021257765</v>
      </c>
      <c r="X204" s="184">
        <f t="shared" si="95"/>
        <v>317594.64021257765</v>
      </c>
      <c r="Y204" s="184">
        <f t="shared" si="96"/>
        <v>158797.32010628883</v>
      </c>
    </row>
    <row r="205" spans="2:25" ht="15">
      <c r="B205" s="275"/>
      <c r="C205" s="275"/>
      <c r="D205" s="275"/>
      <c r="E205" s="275"/>
      <c r="F205" s="275"/>
      <c r="G205" s="275"/>
      <c r="H205" s="275"/>
      <c r="I205" s="275"/>
      <c r="J205" s="275"/>
      <c r="K205" s="275"/>
      <c r="L205" s="275"/>
      <c r="M205" s="275"/>
      <c r="N205" s="275"/>
      <c r="O205" s="275"/>
      <c r="P205" s="275"/>
      <c r="Q205" s="275"/>
      <c r="R205" s="275"/>
      <c r="S205" s="275"/>
      <c r="T205" s="276"/>
      <c r="U205" s="276"/>
      <c r="V205" s="144">
        <f t="shared" si="93"/>
        <v>199</v>
      </c>
      <c r="W205" s="184">
        <f t="shared" si="94"/>
        <v>318625.82012870803</v>
      </c>
      <c r="X205" s="184">
        <f t="shared" si="95"/>
        <v>318625.82012870803</v>
      </c>
      <c r="Y205" s="184">
        <f t="shared" si="96"/>
        <v>159312.91006435402</v>
      </c>
    </row>
    <row r="206" spans="22:25" ht="15">
      <c r="V206" s="144">
        <f t="shared" si="93"/>
        <v>200</v>
      </c>
      <c r="W206" s="184">
        <f t="shared" si="94"/>
        <v>319652.72128999967</v>
      </c>
      <c r="X206" s="184">
        <f t="shared" si="95"/>
        <v>319652.72128999967</v>
      </c>
      <c r="Y206" s="184">
        <f t="shared" si="96"/>
        <v>159826.36064499983</v>
      </c>
    </row>
    <row r="207" spans="22:25" ht="15">
      <c r="V207" s="144">
        <f t="shared" si="93"/>
        <v>201</v>
      </c>
      <c r="W207" s="184">
        <f t="shared" si="94"/>
        <v>320675.3614506221</v>
      </c>
      <c r="X207" s="184">
        <f t="shared" si="95"/>
        <v>320675.3614506221</v>
      </c>
      <c r="Y207" s="184">
        <f t="shared" si="96"/>
        <v>160337.68072531105</v>
      </c>
    </row>
    <row r="208" spans="22:25" ht="15">
      <c r="V208" s="144">
        <f t="shared" si="93"/>
        <v>202</v>
      </c>
      <c r="W208" s="184">
        <f t="shared" si="94"/>
        <v>321693.75829107594</v>
      </c>
      <c r="X208" s="184">
        <f t="shared" si="95"/>
        <v>321693.75829107594</v>
      </c>
      <c r="Y208" s="184">
        <f t="shared" si="96"/>
        <v>160846.87914553797</v>
      </c>
    </row>
    <row r="209" spans="22:25" ht="15">
      <c r="V209" s="144">
        <f t="shared" si="93"/>
        <v>203</v>
      </c>
      <c r="W209" s="184">
        <f t="shared" si="94"/>
        <v>322707.9294184988</v>
      </c>
      <c r="X209" s="184">
        <f t="shared" si="95"/>
        <v>322707.9294184988</v>
      </c>
      <c r="Y209" s="184">
        <f t="shared" si="96"/>
        <v>161353.9647092494</v>
      </c>
    </row>
    <row r="210" spans="22:25" ht="15">
      <c r="V210" s="144">
        <f t="shared" si="93"/>
        <v>204</v>
      </c>
      <c r="W210" s="184">
        <f t="shared" si="94"/>
        <v>323717.8923669698</v>
      </c>
      <c r="X210" s="184">
        <f t="shared" si="95"/>
        <v>323717.8923669698</v>
      </c>
      <c r="Y210" s="184">
        <f t="shared" si="96"/>
        <v>161858.9461834849</v>
      </c>
    </row>
    <row r="211" spans="22:25" ht="15">
      <c r="V211" s="144">
        <f t="shared" si="93"/>
        <v>205</v>
      </c>
      <c r="W211" s="184">
        <f t="shared" si="94"/>
        <v>324723.6645978122</v>
      </c>
      <c r="X211" s="184">
        <f t="shared" si="95"/>
        <v>324723.6645978122</v>
      </c>
      <c r="Y211" s="184">
        <f t="shared" si="96"/>
        <v>162361.8322989061</v>
      </c>
    </row>
    <row r="212" spans="22:25" ht="15">
      <c r="V212" s="144">
        <f t="shared" si="93"/>
        <v>206</v>
      </c>
      <c r="W212" s="184">
        <f t="shared" si="94"/>
        <v>325725.263499896</v>
      </c>
      <c r="X212" s="184">
        <f t="shared" si="95"/>
        <v>325725.263499896</v>
      </c>
      <c r="Y212" s="184">
        <f t="shared" si="96"/>
        <v>162862.631749948</v>
      </c>
    </row>
    <row r="213" spans="22:25" ht="15">
      <c r="V213" s="144">
        <f t="shared" si="93"/>
        <v>207</v>
      </c>
      <c r="W213" s="184">
        <f t="shared" si="94"/>
        <v>0</v>
      </c>
      <c r="X213" s="184">
        <f t="shared" si="95"/>
        <v>326722.7063899379</v>
      </c>
      <c r="Y213" s="184">
        <f t="shared" si="96"/>
        <v>0</v>
      </c>
    </row>
    <row r="214" spans="22:25" ht="15">
      <c r="V214" s="144">
        <f t="shared" si="93"/>
        <v>208</v>
      </c>
      <c r="W214" s="184">
        <f t="shared" si="94"/>
        <v>0</v>
      </c>
      <c r="X214" s="184">
        <f t="shared" si="95"/>
        <v>327716.01051280124</v>
      </c>
      <c r="Y214" s="184">
        <f t="shared" si="96"/>
        <v>0</v>
      </c>
    </row>
    <row r="215" spans="22:25" ht="15">
      <c r="V215" s="144">
        <f t="shared" si="93"/>
        <v>209</v>
      </c>
      <c r="W215" s="184">
        <f t="shared" si="94"/>
        <v>0</v>
      </c>
      <c r="X215" s="184">
        <f t="shared" si="95"/>
        <v>328705.19304179377</v>
      </c>
      <c r="Y215" s="184">
        <f t="shared" si="96"/>
        <v>0</v>
      </c>
    </row>
    <row r="216" spans="22:25" ht="15">
      <c r="V216" s="144">
        <f t="shared" si="93"/>
        <v>210</v>
      </c>
      <c r="W216" s="184">
        <f t="shared" si="94"/>
        <v>0</v>
      </c>
      <c r="X216" s="184">
        <f t="shared" si="95"/>
        <v>329690.27107896475</v>
      </c>
      <c r="Y216" s="184">
        <f t="shared" si="96"/>
        <v>0</v>
      </c>
    </row>
    <row r="217" spans="22:25" ht="15">
      <c r="V217" s="144">
        <f t="shared" si="93"/>
        <v>211</v>
      </c>
      <c r="W217" s="184">
        <f t="shared" si="94"/>
        <v>0</v>
      </c>
      <c r="X217" s="184">
        <f t="shared" si="95"/>
        <v>330671.26165540057</v>
      </c>
      <c r="Y217" s="184">
        <f t="shared" si="96"/>
        <v>0</v>
      </c>
    </row>
    <row r="218" spans="22:25" ht="15">
      <c r="V218" s="144">
        <f t="shared" si="93"/>
        <v>212</v>
      </c>
      <c r="W218" s="184">
        <f t="shared" si="94"/>
        <v>0</v>
      </c>
      <c r="X218" s="184">
        <f t="shared" si="95"/>
        <v>331648.18173151923</v>
      </c>
      <c r="Y218" s="184">
        <f t="shared" si="96"/>
        <v>0</v>
      </c>
    </row>
    <row r="219" spans="22:25" ht="15">
      <c r="V219" s="144">
        <f t="shared" si="93"/>
        <v>213</v>
      </c>
      <c r="W219" s="184">
        <f t="shared" si="94"/>
        <v>0</v>
      </c>
      <c r="X219" s="184">
        <f t="shared" si="95"/>
        <v>332621.04819736356</v>
      </c>
      <c r="Y219" s="184">
        <f t="shared" si="96"/>
        <v>0</v>
      </c>
    </row>
    <row r="220" spans="22:25" ht="15">
      <c r="V220" s="144">
        <f t="shared" si="93"/>
        <v>214</v>
      </c>
      <c r="W220" s="184">
        <f t="shared" si="94"/>
        <v>0</v>
      </c>
      <c r="X220" s="184">
        <f t="shared" si="95"/>
        <v>333589.8778728932</v>
      </c>
      <c r="Y220" s="184">
        <f t="shared" si="96"/>
        <v>0</v>
      </c>
    </row>
    <row r="221" spans="22:25" ht="15">
      <c r="V221" s="144">
        <f t="shared" si="93"/>
        <v>215</v>
      </c>
      <c r="W221" s="184">
        <f t="shared" si="94"/>
        <v>0</v>
      </c>
      <c r="X221" s="184">
        <f t="shared" si="95"/>
        <v>334554.6875082754</v>
      </c>
      <c r="Y221" s="184">
        <f t="shared" si="96"/>
        <v>0</v>
      </c>
    </row>
    <row r="222" spans="22:25" ht="15">
      <c r="V222" s="144">
        <f t="shared" si="93"/>
        <v>216</v>
      </c>
      <c r="W222" s="184">
        <f t="shared" si="94"/>
        <v>0</v>
      </c>
      <c r="X222" s="184">
        <f t="shared" si="95"/>
        <v>335515.4937841747</v>
      </c>
      <c r="Y222" s="184">
        <f t="shared" si="96"/>
        <v>0</v>
      </c>
    </row>
    <row r="223" spans="22:25" ht="15">
      <c r="V223" s="144">
        <f t="shared" si="93"/>
        <v>217</v>
      </c>
      <c r="W223" s="184">
        <f t="shared" si="94"/>
        <v>0</v>
      </c>
      <c r="X223" s="184">
        <f t="shared" si="95"/>
        <v>336472.31331204117</v>
      </c>
      <c r="Y223" s="184">
        <f t="shared" si="96"/>
        <v>0</v>
      </c>
    </row>
    <row r="224" spans="22:25" ht="15">
      <c r="V224" s="144">
        <f t="shared" si="93"/>
        <v>218</v>
      </c>
      <c r="W224" s="184">
        <f t="shared" si="94"/>
        <v>0</v>
      </c>
      <c r="X224" s="184">
        <f t="shared" si="95"/>
        <v>337425.16263439786</v>
      </c>
      <c r="Y224" s="184">
        <f t="shared" si="96"/>
        <v>0</v>
      </c>
    </row>
    <row r="225" spans="22:25" ht="15">
      <c r="V225" s="144">
        <f t="shared" si="93"/>
        <v>219</v>
      </c>
      <c r="W225" s="184">
        <f t="shared" si="94"/>
        <v>0</v>
      </c>
      <c r="X225" s="184">
        <f t="shared" si="95"/>
        <v>338374.0582251265</v>
      </c>
      <c r="Y225" s="184">
        <f t="shared" si="96"/>
        <v>0</v>
      </c>
    </row>
    <row r="226" spans="22:25" ht="15">
      <c r="V226" s="144">
        <f t="shared" si="93"/>
        <v>220</v>
      </c>
      <c r="W226" s="184">
        <f t="shared" si="94"/>
        <v>0</v>
      </c>
      <c r="X226" s="184">
        <f t="shared" si="95"/>
        <v>339319.0164897525</v>
      </c>
      <c r="Y226" s="184">
        <f t="shared" si="96"/>
        <v>0</v>
      </c>
    </row>
    <row r="227" spans="22:25" ht="15">
      <c r="V227" s="144">
        <f t="shared" si="93"/>
        <v>221</v>
      </c>
      <c r="W227" s="184">
        <f t="shared" si="94"/>
        <v>0</v>
      </c>
      <c r="X227" s="184">
        <f t="shared" si="95"/>
        <v>340260.05376572866</v>
      </c>
      <c r="Y227" s="184">
        <f t="shared" si="96"/>
        <v>0</v>
      </c>
    </row>
    <row r="228" spans="22:25" ht="15">
      <c r="V228" s="144">
        <f t="shared" si="93"/>
        <v>222</v>
      </c>
      <c r="W228" s="184">
        <f t="shared" si="94"/>
        <v>0</v>
      </c>
      <c r="X228" s="184">
        <f t="shared" si="95"/>
        <v>341197.18632271735</v>
      </c>
      <c r="Y228" s="184">
        <f t="shared" si="96"/>
        <v>0</v>
      </c>
    </row>
    <row r="229" spans="22:25" ht="15">
      <c r="V229" s="144">
        <f t="shared" si="93"/>
        <v>223</v>
      </c>
      <c r="W229" s="184">
        <f t="shared" si="94"/>
        <v>0</v>
      </c>
      <c r="X229" s="184">
        <f t="shared" si="95"/>
        <v>342130.430362872</v>
      </c>
      <c r="Y229" s="184">
        <f t="shared" si="96"/>
        <v>0</v>
      </c>
    </row>
    <row r="230" spans="22:25" ht="15">
      <c r="V230" s="144">
        <f t="shared" si="93"/>
        <v>224</v>
      </c>
      <c r="W230" s="184">
        <f t="shared" si="94"/>
        <v>0</v>
      </c>
      <c r="X230" s="184">
        <f t="shared" si="95"/>
        <v>343059.80202111736</v>
      </c>
      <c r="Y230" s="184">
        <f t="shared" si="96"/>
        <v>0</v>
      </c>
    </row>
    <row r="231" spans="22:25" ht="15">
      <c r="V231" s="144">
        <f t="shared" si="93"/>
        <v>225</v>
      </c>
      <c r="W231" s="184">
        <f t="shared" si="94"/>
        <v>0</v>
      </c>
      <c r="X231" s="184">
        <f t="shared" si="95"/>
        <v>343985.3173654281</v>
      </c>
      <c r="Y231" s="184">
        <f t="shared" si="96"/>
        <v>0</v>
      </c>
    </row>
    <row r="232" spans="22:25" ht="15">
      <c r="V232" s="144">
        <f t="shared" si="93"/>
        <v>226</v>
      </c>
      <c r="W232" s="184">
        <f t="shared" si="94"/>
        <v>0</v>
      </c>
      <c r="X232" s="184">
        <f t="shared" si="95"/>
        <v>344906.9923971068</v>
      </c>
      <c r="Y232" s="184">
        <f t="shared" si="96"/>
        <v>0</v>
      </c>
    </row>
    <row r="233" spans="22:25" ht="15">
      <c r="V233" s="144">
        <f t="shared" si="93"/>
        <v>227</v>
      </c>
      <c r="W233" s="184">
        <f t="shared" si="94"/>
        <v>0</v>
      </c>
      <c r="X233" s="184">
        <f t="shared" si="95"/>
        <v>345824.8430510607</v>
      </c>
      <c r="Y233" s="184">
        <f t="shared" si="96"/>
        <v>0</v>
      </c>
    </row>
    <row r="234" spans="22:25" ht="15">
      <c r="V234" s="144">
        <f t="shared" si="93"/>
        <v>228</v>
      </c>
      <c r="W234" s="184">
        <f t="shared" si="94"/>
        <v>0</v>
      </c>
      <c r="X234" s="184">
        <f t="shared" si="95"/>
        <v>346738.885196077</v>
      </c>
      <c r="Y234" s="184">
        <f t="shared" si="96"/>
        <v>0</v>
      </c>
    </row>
    <row r="235" spans="22:25" ht="15">
      <c r="V235" s="144">
        <f t="shared" si="93"/>
        <v>229</v>
      </c>
      <c r="W235" s="184">
        <f t="shared" si="94"/>
        <v>0</v>
      </c>
      <c r="X235" s="184">
        <f t="shared" si="95"/>
        <v>347649.1346350974</v>
      </c>
      <c r="Y235" s="184">
        <f t="shared" si="96"/>
        <v>0</v>
      </c>
    </row>
    <row r="236" spans="22:25" ht="15">
      <c r="V236" s="144">
        <f t="shared" si="93"/>
        <v>230</v>
      </c>
      <c r="W236" s="184">
        <f t="shared" si="94"/>
        <v>0</v>
      </c>
      <c r="X236" s="184">
        <f t="shared" si="95"/>
        <v>348555.60710549116</v>
      </c>
      <c r="Y236" s="184">
        <f t="shared" si="96"/>
        <v>0</v>
      </c>
    </row>
    <row r="237" spans="22:25" ht="15">
      <c r="V237" s="144">
        <f t="shared" si="93"/>
        <v>231</v>
      </c>
      <c r="W237" s="184">
        <f t="shared" si="94"/>
        <v>0</v>
      </c>
      <c r="X237" s="184">
        <f t="shared" si="95"/>
        <v>349458.3182793273</v>
      </c>
      <c r="Y237" s="184">
        <f t="shared" si="96"/>
        <v>0</v>
      </c>
    </row>
    <row r="238" spans="22:25" ht="15">
      <c r="V238" s="144">
        <f t="shared" si="93"/>
        <v>232</v>
      </c>
      <c r="W238" s="184">
        <f t="shared" si="94"/>
        <v>0</v>
      </c>
      <c r="X238" s="184">
        <f t="shared" si="95"/>
        <v>350357.28376364545</v>
      </c>
      <c r="Y238" s="184">
        <f t="shared" si="96"/>
        <v>0</v>
      </c>
    </row>
    <row r="239" spans="22:25" ht="15">
      <c r="V239" s="144">
        <f t="shared" si="93"/>
        <v>233</v>
      </c>
      <c r="W239" s="184">
        <f t="shared" si="94"/>
        <v>0</v>
      </c>
      <c r="X239" s="184">
        <f t="shared" si="95"/>
        <v>351252.51910072577</v>
      </c>
      <c r="Y239" s="184">
        <f t="shared" si="96"/>
        <v>0</v>
      </c>
    </row>
    <row r="240" spans="22:25" ht="15">
      <c r="V240" s="144">
        <f t="shared" si="93"/>
        <v>234</v>
      </c>
      <c r="W240" s="184">
        <f t="shared" si="94"/>
        <v>0</v>
      </c>
      <c r="X240" s="184">
        <f t="shared" si="95"/>
        <v>352144.0397683576</v>
      </c>
      <c r="Y240" s="184">
        <f t="shared" si="96"/>
        <v>0</v>
      </c>
    </row>
    <row r="241" spans="22:25" ht="15">
      <c r="V241" s="144">
        <f t="shared" si="93"/>
        <v>235</v>
      </c>
      <c r="W241" s="184">
        <f t="shared" si="94"/>
        <v>0</v>
      </c>
      <c r="X241" s="184">
        <f t="shared" si="95"/>
        <v>353031.8611801071</v>
      </c>
      <c r="Y241" s="184">
        <f t="shared" si="96"/>
        <v>0</v>
      </c>
    </row>
    <row r="242" spans="22:25" ht="15">
      <c r="V242" s="144">
        <f t="shared" si="93"/>
        <v>236</v>
      </c>
      <c r="W242" s="184">
        <f t="shared" si="94"/>
        <v>0</v>
      </c>
      <c r="X242" s="184">
        <f t="shared" si="95"/>
        <v>353915.9986855838</v>
      </c>
      <c r="Y242" s="184">
        <f t="shared" si="96"/>
        <v>0</v>
      </c>
    </row>
    <row r="243" spans="22:25" ht="15">
      <c r="V243" s="144">
        <f t="shared" si="93"/>
        <v>237</v>
      </c>
      <c r="W243" s="184">
        <f t="shared" si="94"/>
        <v>0</v>
      </c>
      <c r="X243" s="184">
        <f t="shared" si="95"/>
        <v>354796.46757070586</v>
      </c>
      <c r="Y243" s="184">
        <f t="shared" si="96"/>
        <v>0</v>
      </c>
    </row>
    <row r="244" spans="22:25" ht="15">
      <c r="V244" s="144">
        <f t="shared" si="93"/>
        <v>238</v>
      </c>
      <c r="W244" s="184">
        <f t="shared" si="94"/>
        <v>0</v>
      </c>
      <c r="X244" s="184">
        <f t="shared" si="95"/>
        <v>355673.28305796435</v>
      </c>
      <c r="Y244" s="184">
        <f t="shared" si="96"/>
        <v>0</v>
      </c>
    </row>
    <row r="245" spans="22:25" ht="15">
      <c r="V245" s="144">
        <f t="shared" si="93"/>
        <v>239</v>
      </c>
      <c r="W245" s="184">
        <f t="shared" si="94"/>
        <v>0</v>
      </c>
      <c r="X245" s="184">
        <f t="shared" si="95"/>
        <v>0</v>
      </c>
      <c r="Y245" s="184">
        <f t="shared" si="96"/>
        <v>0</v>
      </c>
    </row>
    <row r="246" spans="22:25" ht="15">
      <c r="V246" s="144">
        <f t="shared" si="93"/>
        <v>240</v>
      </c>
      <c r="W246" s="184">
        <f t="shared" si="94"/>
        <v>0</v>
      </c>
      <c r="X246" s="184">
        <f t="shared" si="95"/>
        <v>0</v>
      </c>
      <c r="Y246" s="184">
        <f t="shared" si="96"/>
        <v>0</v>
      </c>
    </row>
    <row r="247" spans="22:25" ht="15">
      <c r="V247" s="144">
        <f t="shared" si="93"/>
        <v>241</v>
      </c>
      <c r="W247" s="184">
        <f t="shared" si="94"/>
        <v>0</v>
      </c>
      <c r="X247" s="184">
        <f t="shared" si="95"/>
        <v>0</v>
      </c>
      <c r="Y247" s="184">
        <f t="shared" si="96"/>
        <v>0</v>
      </c>
    </row>
    <row r="248" spans="22:25" ht="15">
      <c r="V248" s="144">
        <f t="shared" si="93"/>
        <v>242</v>
      </c>
      <c r="W248" s="184">
        <f t="shared" si="94"/>
        <v>0</v>
      </c>
      <c r="X248" s="184">
        <f t="shared" si="95"/>
        <v>0</v>
      </c>
      <c r="Y248" s="184">
        <f t="shared" si="96"/>
        <v>0</v>
      </c>
    </row>
    <row r="249" spans="22:25" ht="15">
      <c r="V249" s="144">
        <f t="shared" si="93"/>
        <v>243</v>
      </c>
      <c r="W249" s="184">
        <f t="shared" si="94"/>
        <v>0</v>
      </c>
      <c r="X249" s="184">
        <f t="shared" si="95"/>
        <v>0</v>
      </c>
      <c r="Y249" s="184">
        <f t="shared" si="96"/>
        <v>0</v>
      </c>
    </row>
    <row r="250" spans="22:25" ht="15">
      <c r="V250" s="144">
        <f t="shared" si="93"/>
        <v>244</v>
      </c>
      <c r="W250" s="184">
        <f t="shared" si="94"/>
        <v>0</v>
      </c>
      <c r="X250" s="184">
        <f t="shared" si="95"/>
        <v>0</v>
      </c>
      <c r="Y250" s="184">
        <f t="shared" si="96"/>
        <v>0</v>
      </c>
    </row>
    <row r="251" spans="22:25" ht="15">
      <c r="V251" s="144">
        <f t="shared" si="93"/>
        <v>245</v>
      </c>
      <c r="W251" s="184">
        <f t="shared" si="94"/>
        <v>0</v>
      </c>
      <c r="X251" s="184">
        <f t="shared" si="95"/>
        <v>0</v>
      </c>
      <c r="Y251" s="184">
        <f t="shared" si="96"/>
        <v>0</v>
      </c>
    </row>
    <row r="252" spans="22:25" ht="15">
      <c r="V252" s="144">
        <f t="shared" si="93"/>
        <v>246</v>
      </c>
      <c r="W252" s="184">
        <f t="shared" si="94"/>
        <v>0</v>
      </c>
      <c r="X252" s="184">
        <f t="shared" si="95"/>
        <v>0</v>
      </c>
      <c r="Y252" s="184">
        <f t="shared" si="96"/>
        <v>0</v>
      </c>
    </row>
    <row r="253" spans="22:25" ht="15">
      <c r="V253" s="144">
        <f t="shared" si="93"/>
        <v>247</v>
      </c>
      <c r="W253" s="184">
        <f t="shared" si="94"/>
        <v>0</v>
      </c>
      <c r="X253" s="184">
        <f t="shared" si="95"/>
        <v>0</v>
      </c>
      <c r="Y253" s="184">
        <f t="shared" si="96"/>
        <v>0</v>
      </c>
    </row>
    <row r="254" spans="22:25" ht="15">
      <c r="V254" s="144">
        <f t="shared" si="93"/>
        <v>248</v>
      </c>
      <c r="W254" s="184">
        <f t="shared" si="94"/>
        <v>0</v>
      </c>
      <c r="X254" s="184">
        <f t="shared" si="95"/>
        <v>0</v>
      </c>
      <c r="Y254" s="184">
        <f t="shared" si="96"/>
        <v>0</v>
      </c>
    </row>
    <row r="255" spans="22:25" ht="15">
      <c r="V255" s="144">
        <f t="shared" si="93"/>
        <v>249</v>
      </c>
      <c r="W255" s="184">
        <f t="shared" si="94"/>
        <v>0</v>
      </c>
      <c r="X255" s="184">
        <f t="shared" si="95"/>
        <v>0</v>
      </c>
      <c r="Y255" s="184">
        <f t="shared" si="96"/>
        <v>0</v>
      </c>
    </row>
    <row r="256" spans="22:25" ht="15">
      <c r="V256" s="144">
        <f t="shared" si="93"/>
        <v>250</v>
      </c>
      <c r="W256" s="184">
        <f t="shared" si="94"/>
        <v>0</v>
      </c>
      <c r="X256" s="184">
        <f t="shared" si="95"/>
        <v>0</v>
      </c>
      <c r="Y256" s="184">
        <f t="shared" si="96"/>
        <v>0</v>
      </c>
    </row>
    <row r="257" spans="22:25" ht="15">
      <c r="V257" s="144">
        <f t="shared" si="93"/>
        <v>251</v>
      </c>
      <c r="W257" s="184">
        <f t="shared" si="94"/>
        <v>0</v>
      </c>
      <c r="X257" s="184">
        <f t="shared" si="95"/>
        <v>0</v>
      </c>
      <c r="Y257" s="184">
        <f t="shared" si="96"/>
        <v>0</v>
      </c>
    </row>
    <row r="258" spans="22:25" ht="15">
      <c r="V258" s="144">
        <f t="shared" si="93"/>
        <v>252</v>
      </c>
      <c r="W258" s="184">
        <f t="shared" si="94"/>
        <v>0</v>
      </c>
      <c r="X258" s="184">
        <f t="shared" si="95"/>
        <v>0</v>
      </c>
      <c r="Y258" s="184">
        <f t="shared" si="96"/>
        <v>0</v>
      </c>
    </row>
    <row r="259" spans="22:25" ht="15">
      <c r="V259" s="144">
        <f t="shared" si="93"/>
        <v>253</v>
      </c>
      <c r="W259" s="184">
        <f t="shared" si="94"/>
        <v>0</v>
      </c>
      <c r="X259" s="184">
        <f t="shared" si="95"/>
        <v>0</v>
      </c>
      <c r="Y259" s="184">
        <f t="shared" si="96"/>
        <v>0</v>
      </c>
    </row>
    <row r="260" spans="22:25" ht="15">
      <c r="V260" s="144">
        <f t="shared" si="93"/>
        <v>254</v>
      </c>
      <c r="W260" s="184">
        <f t="shared" si="94"/>
        <v>0</v>
      </c>
      <c r="X260" s="184">
        <f t="shared" si="95"/>
        <v>0</v>
      </c>
      <c r="Y260" s="184">
        <f t="shared" si="96"/>
        <v>0</v>
      </c>
    </row>
    <row r="261" spans="22:25" ht="15">
      <c r="V261" s="144">
        <f t="shared" si="93"/>
        <v>255</v>
      </c>
      <c r="W261" s="184">
        <f t="shared" si="94"/>
        <v>0</v>
      </c>
      <c r="X261" s="184">
        <f t="shared" si="95"/>
        <v>0</v>
      </c>
      <c r="Y261" s="184">
        <f t="shared" si="96"/>
        <v>0</v>
      </c>
    </row>
    <row r="262" spans="22:25" ht="15">
      <c r="V262" s="144">
        <f t="shared" si="93"/>
        <v>256</v>
      </c>
      <c r="W262" s="184">
        <f t="shared" si="94"/>
        <v>0</v>
      </c>
      <c r="X262" s="184">
        <f t="shared" si="95"/>
        <v>0</v>
      </c>
      <c r="Y262" s="184">
        <f t="shared" si="96"/>
        <v>0</v>
      </c>
    </row>
    <row r="263" spans="22:25" ht="15">
      <c r="V263" s="144">
        <f t="shared" si="93"/>
        <v>257</v>
      </c>
      <c r="W263" s="184">
        <f t="shared" si="94"/>
        <v>0</v>
      </c>
      <c r="X263" s="184">
        <f t="shared" si="95"/>
        <v>0</v>
      </c>
      <c r="Y263" s="184">
        <f t="shared" si="96"/>
        <v>0</v>
      </c>
    </row>
    <row r="264" spans="22:25" ht="15">
      <c r="V264" s="144">
        <f t="shared" si="93"/>
        <v>258</v>
      </c>
      <c r="W264" s="184">
        <f t="shared" si="94"/>
        <v>0</v>
      </c>
      <c r="X264" s="184">
        <f t="shared" si="95"/>
        <v>0</v>
      </c>
      <c r="Y264" s="184">
        <f t="shared" si="96"/>
        <v>0</v>
      </c>
    </row>
    <row r="265" spans="22:25" ht="15">
      <c r="V265" s="144">
        <f aca="true" t="shared" si="97" ref="V265:V328">1+V264</f>
        <v>259</v>
      </c>
      <c r="W265" s="184">
        <f aca="true" t="shared" si="98" ref="W265:W328">IF($V265&lt;12*$Q$17,W264+$Q$16*POWER(1+$Q$15/12,-($V265-1)),0)</f>
        <v>0</v>
      </c>
      <c r="X265" s="184">
        <f aca="true" t="shared" si="99" ref="X265:X328">IF($V265&lt;12*$Q$18,X264+$Q$16*POWER(1+$Q$15/12,-($V265-1)),0)</f>
        <v>0</v>
      </c>
      <c r="Y265" s="184">
        <f aca="true" t="shared" si="100" ref="Y265:Y328">IF(AND($V265&lt;12*$Q$17,$V265&lt;12*$Q$18),Y264+($Q$16/2)*POWER(1+$Q$15/12,-($V265-1)),0)</f>
        <v>0</v>
      </c>
    </row>
    <row r="266" spans="22:25" ht="15">
      <c r="V266" s="144">
        <f t="shared" si="97"/>
        <v>260</v>
      </c>
      <c r="W266" s="184">
        <f t="shared" si="98"/>
        <v>0</v>
      </c>
      <c r="X266" s="184">
        <f t="shared" si="99"/>
        <v>0</v>
      </c>
      <c r="Y266" s="184">
        <f t="shared" si="100"/>
        <v>0</v>
      </c>
    </row>
    <row r="267" spans="22:25" ht="15">
      <c r="V267" s="144">
        <f t="shared" si="97"/>
        <v>261</v>
      </c>
      <c r="W267" s="184">
        <f t="shared" si="98"/>
        <v>0</v>
      </c>
      <c r="X267" s="184">
        <f t="shared" si="99"/>
        <v>0</v>
      </c>
      <c r="Y267" s="184">
        <f t="shared" si="100"/>
        <v>0</v>
      </c>
    </row>
    <row r="268" spans="22:25" ht="15">
      <c r="V268" s="144">
        <f t="shared" si="97"/>
        <v>262</v>
      </c>
      <c r="W268" s="184">
        <f t="shared" si="98"/>
        <v>0</v>
      </c>
      <c r="X268" s="184">
        <f t="shared" si="99"/>
        <v>0</v>
      </c>
      <c r="Y268" s="184">
        <f t="shared" si="100"/>
        <v>0</v>
      </c>
    </row>
    <row r="269" spans="22:25" ht="15">
      <c r="V269" s="144">
        <f t="shared" si="97"/>
        <v>263</v>
      </c>
      <c r="W269" s="184">
        <f t="shared" si="98"/>
        <v>0</v>
      </c>
      <c r="X269" s="184">
        <f t="shared" si="99"/>
        <v>0</v>
      </c>
      <c r="Y269" s="184">
        <f t="shared" si="100"/>
        <v>0</v>
      </c>
    </row>
    <row r="270" spans="22:25" ht="15">
      <c r="V270" s="144">
        <f t="shared" si="97"/>
        <v>264</v>
      </c>
      <c r="W270" s="184">
        <f t="shared" si="98"/>
        <v>0</v>
      </c>
      <c r="X270" s="184">
        <f t="shared" si="99"/>
        <v>0</v>
      </c>
      <c r="Y270" s="184">
        <f t="shared" si="100"/>
        <v>0</v>
      </c>
    </row>
    <row r="271" spans="22:25" ht="15">
      <c r="V271" s="144">
        <f t="shared" si="97"/>
        <v>265</v>
      </c>
      <c r="W271" s="184">
        <f t="shared" si="98"/>
        <v>0</v>
      </c>
      <c r="X271" s="184">
        <f t="shared" si="99"/>
        <v>0</v>
      </c>
      <c r="Y271" s="184">
        <f t="shared" si="100"/>
        <v>0</v>
      </c>
    </row>
    <row r="272" spans="22:25" ht="15">
      <c r="V272" s="144">
        <f t="shared" si="97"/>
        <v>266</v>
      </c>
      <c r="W272" s="184">
        <f t="shared" si="98"/>
        <v>0</v>
      </c>
      <c r="X272" s="184">
        <f t="shared" si="99"/>
        <v>0</v>
      </c>
      <c r="Y272" s="184">
        <f t="shared" si="100"/>
        <v>0</v>
      </c>
    </row>
    <row r="273" spans="22:25" ht="15">
      <c r="V273" s="144">
        <f t="shared" si="97"/>
        <v>267</v>
      </c>
      <c r="W273" s="184">
        <f t="shared" si="98"/>
        <v>0</v>
      </c>
      <c r="X273" s="184">
        <f t="shared" si="99"/>
        <v>0</v>
      </c>
      <c r="Y273" s="184">
        <f t="shared" si="100"/>
        <v>0</v>
      </c>
    </row>
    <row r="274" spans="22:25" ht="15">
      <c r="V274" s="144">
        <f t="shared" si="97"/>
        <v>268</v>
      </c>
      <c r="W274" s="184">
        <f t="shared" si="98"/>
        <v>0</v>
      </c>
      <c r="X274" s="184">
        <f t="shared" si="99"/>
        <v>0</v>
      </c>
      <c r="Y274" s="184">
        <f t="shared" si="100"/>
        <v>0</v>
      </c>
    </row>
    <row r="275" spans="22:25" ht="15">
      <c r="V275" s="144">
        <f t="shared" si="97"/>
        <v>269</v>
      </c>
      <c r="W275" s="184">
        <f t="shared" si="98"/>
        <v>0</v>
      </c>
      <c r="X275" s="184">
        <f t="shared" si="99"/>
        <v>0</v>
      </c>
      <c r="Y275" s="184">
        <f t="shared" si="100"/>
        <v>0</v>
      </c>
    </row>
    <row r="276" spans="22:25" ht="15">
      <c r="V276" s="144">
        <f t="shared" si="97"/>
        <v>270</v>
      </c>
      <c r="W276" s="184">
        <f t="shared" si="98"/>
        <v>0</v>
      </c>
      <c r="X276" s="184">
        <f t="shared" si="99"/>
        <v>0</v>
      </c>
      <c r="Y276" s="184">
        <f t="shared" si="100"/>
        <v>0</v>
      </c>
    </row>
    <row r="277" spans="22:25" ht="15">
      <c r="V277" s="144">
        <f t="shared" si="97"/>
        <v>271</v>
      </c>
      <c r="W277" s="184">
        <f t="shared" si="98"/>
        <v>0</v>
      </c>
      <c r="X277" s="184">
        <f t="shared" si="99"/>
        <v>0</v>
      </c>
      <c r="Y277" s="184">
        <f t="shared" si="100"/>
        <v>0</v>
      </c>
    </row>
    <row r="278" spans="22:25" ht="15">
      <c r="V278" s="144">
        <f t="shared" si="97"/>
        <v>272</v>
      </c>
      <c r="W278" s="184">
        <f t="shared" si="98"/>
        <v>0</v>
      </c>
      <c r="X278" s="184">
        <f t="shared" si="99"/>
        <v>0</v>
      </c>
      <c r="Y278" s="184">
        <f t="shared" si="100"/>
        <v>0</v>
      </c>
    </row>
    <row r="279" spans="22:25" ht="15">
      <c r="V279" s="144">
        <f t="shared" si="97"/>
        <v>273</v>
      </c>
      <c r="W279" s="184">
        <f t="shared" si="98"/>
        <v>0</v>
      </c>
      <c r="X279" s="184">
        <f t="shared" si="99"/>
        <v>0</v>
      </c>
      <c r="Y279" s="184">
        <f t="shared" si="100"/>
        <v>0</v>
      </c>
    </row>
    <row r="280" spans="22:25" ht="15">
      <c r="V280" s="144">
        <f t="shared" si="97"/>
        <v>274</v>
      </c>
      <c r="W280" s="184">
        <f t="shared" si="98"/>
        <v>0</v>
      </c>
      <c r="X280" s="184">
        <f t="shared" si="99"/>
        <v>0</v>
      </c>
      <c r="Y280" s="184">
        <f t="shared" si="100"/>
        <v>0</v>
      </c>
    </row>
    <row r="281" spans="22:25" ht="15">
      <c r="V281" s="144">
        <f t="shared" si="97"/>
        <v>275</v>
      </c>
      <c r="W281" s="184">
        <f t="shared" si="98"/>
        <v>0</v>
      </c>
      <c r="X281" s="184">
        <f t="shared" si="99"/>
        <v>0</v>
      </c>
      <c r="Y281" s="184">
        <f t="shared" si="100"/>
        <v>0</v>
      </c>
    </row>
    <row r="282" spans="22:25" ht="15">
      <c r="V282" s="144">
        <f t="shared" si="97"/>
        <v>276</v>
      </c>
      <c r="W282" s="184">
        <f t="shared" si="98"/>
        <v>0</v>
      </c>
      <c r="X282" s="184">
        <f t="shared" si="99"/>
        <v>0</v>
      </c>
      <c r="Y282" s="184">
        <f t="shared" si="100"/>
        <v>0</v>
      </c>
    </row>
    <row r="283" spans="22:25" ht="15">
      <c r="V283" s="144">
        <f t="shared" si="97"/>
        <v>277</v>
      </c>
      <c r="W283" s="184">
        <f t="shared" si="98"/>
        <v>0</v>
      </c>
      <c r="X283" s="184">
        <f t="shared" si="99"/>
        <v>0</v>
      </c>
      <c r="Y283" s="184">
        <f t="shared" si="100"/>
        <v>0</v>
      </c>
    </row>
    <row r="284" spans="22:25" ht="15">
      <c r="V284" s="144">
        <f t="shared" si="97"/>
        <v>278</v>
      </c>
      <c r="W284" s="184">
        <f t="shared" si="98"/>
        <v>0</v>
      </c>
      <c r="X284" s="184">
        <f t="shared" si="99"/>
        <v>0</v>
      </c>
      <c r="Y284" s="184">
        <f t="shared" si="100"/>
        <v>0</v>
      </c>
    </row>
    <row r="285" spans="22:25" ht="15">
      <c r="V285" s="144">
        <f t="shared" si="97"/>
        <v>279</v>
      </c>
      <c r="W285" s="184">
        <f t="shared" si="98"/>
        <v>0</v>
      </c>
      <c r="X285" s="184">
        <f t="shared" si="99"/>
        <v>0</v>
      </c>
      <c r="Y285" s="184">
        <f t="shared" si="100"/>
        <v>0</v>
      </c>
    </row>
    <row r="286" spans="22:25" ht="15">
      <c r="V286" s="144">
        <f t="shared" si="97"/>
        <v>280</v>
      </c>
      <c r="W286" s="184">
        <f t="shared" si="98"/>
        <v>0</v>
      </c>
      <c r="X286" s="184">
        <f t="shared" si="99"/>
        <v>0</v>
      </c>
      <c r="Y286" s="184">
        <f t="shared" si="100"/>
        <v>0</v>
      </c>
    </row>
    <row r="287" spans="22:25" ht="15">
      <c r="V287" s="144">
        <f t="shared" si="97"/>
        <v>281</v>
      </c>
      <c r="W287" s="184">
        <f t="shared" si="98"/>
        <v>0</v>
      </c>
      <c r="X287" s="184">
        <f t="shared" si="99"/>
        <v>0</v>
      </c>
      <c r="Y287" s="184">
        <f t="shared" si="100"/>
        <v>0</v>
      </c>
    </row>
    <row r="288" spans="22:25" ht="15">
      <c r="V288" s="144">
        <f t="shared" si="97"/>
        <v>282</v>
      </c>
      <c r="W288" s="184">
        <f t="shared" si="98"/>
        <v>0</v>
      </c>
      <c r="X288" s="184">
        <f t="shared" si="99"/>
        <v>0</v>
      </c>
      <c r="Y288" s="184">
        <f t="shared" si="100"/>
        <v>0</v>
      </c>
    </row>
    <row r="289" spans="22:25" ht="15">
      <c r="V289" s="144">
        <f t="shared" si="97"/>
        <v>283</v>
      </c>
      <c r="W289" s="184">
        <f t="shared" si="98"/>
        <v>0</v>
      </c>
      <c r="X289" s="184">
        <f t="shared" si="99"/>
        <v>0</v>
      </c>
      <c r="Y289" s="184">
        <f t="shared" si="100"/>
        <v>0</v>
      </c>
    </row>
    <row r="290" spans="22:25" ht="15">
      <c r="V290" s="144">
        <f t="shared" si="97"/>
        <v>284</v>
      </c>
      <c r="W290" s="184">
        <f t="shared" si="98"/>
        <v>0</v>
      </c>
      <c r="X290" s="184">
        <f t="shared" si="99"/>
        <v>0</v>
      </c>
      <c r="Y290" s="184">
        <f t="shared" si="100"/>
        <v>0</v>
      </c>
    </row>
    <row r="291" spans="22:25" ht="15">
      <c r="V291" s="144">
        <f t="shared" si="97"/>
        <v>285</v>
      </c>
      <c r="W291" s="184">
        <f t="shared" si="98"/>
        <v>0</v>
      </c>
      <c r="X291" s="184">
        <f t="shared" si="99"/>
        <v>0</v>
      </c>
      <c r="Y291" s="184">
        <f t="shared" si="100"/>
        <v>0</v>
      </c>
    </row>
    <row r="292" spans="22:25" ht="15">
      <c r="V292" s="144">
        <f t="shared" si="97"/>
        <v>286</v>
      </c>
      <c r="W292" s="184">
        <f t="shared" si="98"/>
        <v>0</v>
      </c>
      <c r="X292" s="184">
        <f t="shared" si="99"/>
        <v>0</v>
      </c>
      <c r="Y292" s="184">
        <f t="shared" si="100"/>
        <v>0</v>
      </c>
    </row>
    <row r="293" spans="22:25" ht="15">
      <c r="V293" s="144">
        <f t="shared" si="97"/>
        <v>287</v>
      </c>
      <c r="W293" s="184">
        <f t="shared" si="98"/>
        <v>0</v>
      </c>
      <c r="X293" s="184">
        <f t="shared" si="99"/>
        <v>0</v>
      </c>
      <c r="Y293" s="184">
        <f t="shared" si="100"/>
        <v>0</v>
      </c>
    </row>
    <row r="294" spans="22:25" ht="15">
      <c r="V294" s="144">
        <f t="shared" si="97"/>
        <v>288</v>
      </c>
      <c r="W294" s="184">
        <f t="shared" si="98"/>
        <v>0</v>
      </c>
      <c r="X294" s="184">
        <f t="shared" si="99"/>
        <v>0</v>
      </c>
      <c r="Y294" s="184">
        <f t="shared" si="100"/>
        <v>0</v>
      </c>
    </row>
    <row r="295" spans="22:25" ht="15">
      <c r="V295" s="144">
        <f t="shared" si="97"/>
        <v>289</v>
      </c>
      <c r="W295" s="184">
        <f t="shared" si="98"/>
        <v>0</v>
      </c>
      <c r="X295" s="184">
        <f t="shared" si="99"/>
        <v>0</v>
      </c>
      <c r="Y295" s="184">
        <f t="shared" si="100"/>
        <v>0</v>
      </c>
    </row>
    <row r="296" spans="22:25" ht="15">
      <c r="V296" s="144">
        <f t="shared" si="97"/>
        <v>290</v>
      </c>
      <c r="W296" s="184">
        <f t="shared" si="98"/>
        <v>0</v>
      </c>
      <c r="X296" s="184">
        <f t="shared" si="99"/>
        <v>0</v>
      </c>
      <c r="Y296" s="184">
        <f t="shared" si="100"/>
        <v>0</v>
      </c>
    </row>
    <row r="297" spans="22:25" ht="15">
      <c r="V297" s="144">
        <f t="shared" si="97"/>
        <v>291</v>
      </c>
      <c r="W297" s="184">
        <f t="shared" si="98"/>
        <v>0</v>
      </c>
      <c r="X297" s="184">
        <f t="shared" si="99"/>
        <v>0</v>
      </c>
      <c r="Y297" s="184">
        <f t="shared" si="100"/>
        <v>0</v>
      </c>
    </row>
    <row r="298" spans="22:25" ht="15">
      <c r="V298" s="144">
        <f t="shared" si="97"/>
        <v>292</v>
      </c>
      <c r="W298" s="184">
        <f t="shared" si="98"/>
        <v>0</v>
      </c>
      <c r="X298" s="184">
        <f t="shared" si="99"/>
        <v>0</v>
      </c>
      <c r="Y298" s="184">
        <f t="shared" si="100"/>
        <v>0</v>
      </c>
    </row>
    <row r="299" spans="22:25" ht="15">
      <c r="V299" s="144">
        <f t="shared" si="97"/>
        <v>293</v>
      </c>
      <c r="W299" s="184">
        <f t="shared" si="98"/>
        <v>0</v>
      </c>
      <c r="X299" s="184">
        <f t="shared" si="99"/>
        <v>0</v>
      </c>
      <c r="Y299" s="184">
        <f t="shared" si="100"/>
        <v>0</v>
      </c>
    </row>
    <row r="300" spans="22:25" ht="15">
      <c r="V300" s="144">
        <f t="shared" si="97"/>
        <v>294</v>
      </c>
      <c r="W300" s="184">
        <f t="shared" si="98"/>
        <v>0</v>
      </c>
      <c r="X300" s="184">
        <f t="shared" si="99"/>
        <v>0</v>
      </c>
      <c r="Y300" s="184">
        <f t="shared" si="100"/>
        <v>0</v>
      </c>
    </row>
    <row r="301" spans="22:25" ht="15">
      <c r="V301" s="144">
        <f t="shared" si="97"/>
        <v>295</v>
      </c>
      <c r="W301" s="184">
        <f t="shared" si="98"/>
        <v>0</v>
      </c>
      <c r="X301" s="184">
        <f t="shared" si="99"/>
        <v>0</v>
      </c>
      <c r="Y301" s="184">
        <f t="shared" si="100"/>
        <v>0</v>
      </c>
    </row>
    <row r="302" spans="22:25" ht="15">
      <c r="V302" s="144">
        <f t="shared" si="97"/>
        <v>296</v>
      </c>
      <c r="W302" s="184">
        <f t="shared" si="98"/>
        <v>0</v>
      </c>
      <c r="X302" s="184">
        <f t="shared" si="99"/>
        <v>0</v>
      </c>
      <c r="Y302" s="184">
        <f t="shared" si="100"/>
        <v>0</v>
      </c>
    </row>
    <row r="303" spans="22:25" ht="15">
      <c r="V303" s="144">
        <f t="shared" si="97"/>
        <v>297</v>
      </c>
      <c r="W303" s="184">
        <f t="shared" si="98"/>
        <v>0</v>
      </c>
      <c r="X303" s="184">
        <f t="shared" si="99"/>
        <v>0</v>
      </c>
      <c r="Y303" s="184">
        <f t="shared" si="100"/>
        <v>0</v>
      </c>
    </row>
    <row r="304" spans="22:25" ht="15">
      <c r="V304" s="144">
        <f t="shared" si="97"/>
        <v>298</v>
      </c>
      <c r="W304" s="184">
        <f t="shared" si="98"/>
        <v>0</v>
      </c>
      <c r="X304" s="184">
        <f t="shared" si="99"/>
        <v>0</v>
      </c>
      <c r="Y304" s="184">
        <f t="shared" si="100"/>
        <v>0</v>
      </c>
    </row>
    <row r="305" spans="22:25" ht="15">
      <c r="V305" s="144">
        <f t="shared" si="97"/>
        <v>299</v>
      </c>
      <c r="W305" s="184">
        <f t="shared" si="98"/>
        <v>0</v>
      </c>
      <c r="X305" s="184">
        <f t="shared" si="99"/>
        <v>0</v>
      </c>
      <c r="Y305" s="184">
        <f t="shared" si="100"/>
        <v>0</v>
      </c>
    </row>
    <row r="306" spans="22:25" ht="15">
      <c r="V306" s="144">
        <f t="shared" si="97"/>
        <v>300</v>
      </c>
      <c r="W306" s="184">
        <f t="shared" si="98"/>
        <v>0</v>
      </c>
      <c r="X306" s="184">
        <f t="shared" si="99"/>
        <v>0</v>
      </c>
      <c r="Y306" s="184">
        <f t="shared" si="100"/>
        <v>0</v>
      </c>
    </row>
    <row r="307" spans="22:25" ht="15">
      <c r="V307" s="144">
        <f t="shared" si="97"/>
        <v>301</v>
      </c>
      <c r="W307" s="184">
        <f t="shared" si="98"/>
        <v>0</v>
      </c>
      <c r="X307" s="184">
        <f t="shared" si="99"/>
        <v>0</v>
      </c>
      <c r="Y307" s="184">
        <f t="shared" si="100"/>
        <v>0</v>
      </c>
    </row>
    <row r="308" spans="22:25" ht="15">
      <c r="V308" s="144">
        <f t="shared" si="97"/>
        <v>302</v>
      </c>
      <c r="W308" s="184">
        <f t="shared" si="98"/>
        <v>0</v>
      </c>
      <c r="X308" s="184">
        <f t="shared" si="99"/>
        <v>0</v>
      </c>
      <c r="Y308" s="184">
        <f t="shared" si="100"/>
        <v>0</v>
      </c>
    </row>
    <row r="309" spans="22:25" ht="15">
      <c r="V309" s="144">
        <f t="shared" si="97"/>
        <v>303</v>
      </c>
      <c r="W309" s="184">
        <f t="shared" si="98"/>
        <v>0</v>
      </c>
      <c r="X309" s="184">
        <f t="shared" si="99"/>
        <v>0</v>
      </c>
      <c r="Y309" s="184">
        <f t="shared" si="100"/>
        <v>0</v>
      </c>
    </row>
    <row r="310" spans="22:25" ht="15">
      <c r="V310" s="144">
        <f t="shared" si="97"/>
        <v>304</v>
      </c>
      <c r="W310" s="184">
        <f t="shared" si="98"/>
        <v>0</v>
      </c>
      <c r="X310" s="184">
        <f t="shared" si="99"/>
        <v>0</v>
      </c>
      <c r="Y310" s="184">
        <f t="shared" si="100"/>
        <v>0</v>
      </c>
    </row>
    <row r="311" spans="22:25" ht="15">
      <c r="V311" s="144">
        <f t="shared" si="97"/>
        <v>305</v>
      </c>
      <c r="W311" s="184">
        <f t="shared" si="98"/>
        <v>0</v>
      </c>
      <c r="X311" s="184">
        <f t="shared" si="99"/>
        <v>0</v>
      </c>
      <c r="Y311" s="184">
        <f t="shared" si="100"/>
        <v>0</v>
      </c>
    </row>
    <row r="312" spans="22:25" ht="15">
      <c r="V312" s="144">
        <f t="shared" si="97"/>
        <v>306</v>
      </c>
      <c r="W312" s="184">
        <f t="shared" si="98"/>
        <v>0</v>
      </c>
      <c r="X312" s="184">
        <f t="shared" si="99"/>
        <v>0</v>
      </c>
      <c r="Y312" s="184">
        <f t="shared" si="100"/>
        <v>0</v>
      </c>
    </row>
    <row r="313" spans="22:25" ht="15">
      <c r="V313" s="144">
        <f t="shared" si="97"/>
        <v>307</v>
      </c>
      <c r="W313" s="184">
        <f t="shared" si="98"/>
        <v>0</v>
      </c>
      <c r="X313" s="184">
        <f t="shared" si="99"/>
        <v>0</v>
      </c>
      <c r="Y313" s="184">
        <f t="shared" si="100"/>
        <v>0</v>
      </c>
    </row>
    <row r="314" spans="22:25" ht="15">
      <c r="V314" s="144">
        <f t="shared" si="97"/>
        <v>308</v>
      </c>
      <c r="W314" s="184">
        <f t="shared" si="98"/>
        <v>0</v>
      </c>
      <c r="X314" s="184">
        <f t="shared" si="99"/>
        <v>0</v>
      </c>
      <c r="Y314" s="184">
        <f t="shared" si="100"/>
        <v>0</v>
      </c>
    </row>
    <row r="315" spans="22:25" ht="15">
      <c r="V315" s="144">
        <f t="shared" si="97"/>
        <v>309</v>
      </c>
      <c r="W315" s="184">
        <f t="shared" si="98"/>
        <v>0</v>
      </c>
      <c r="X315" s="184">
        <f t="shared" si="99"/>
        <v>0</v>
      </c>
      <c r="Y315" s="184">
        <f t="shared" si="100"/>
        <v>0</v>
      </c>
    </row>
    <row r="316" spans="22:25" ht="15">
      <c r="V316" s="144">
        <f t="shared" si="97"/>
        <v>310</v>
      </c>
      <c r="W316" s="184">
        <f t="shared" si="98"/>
        <v>0</v>
      </c>
      <c r="X316" s="184">
        <f t="shared" si="99"/>
        <v>0</v>
      </c>
      <c r="Y316" s="184">
        <f t="shared" si="100"/>
        <v>0</v>
      </c>
    </row>
    <row r="317" spans="22:25" ht="15">
      <c r="V317" s="144">
        <f t="shared" si="97"/>
        <v>311</v>
      </c>
      <c r="W317" s="184">
        <f t="shared" si="98"/>
        <v>0</v>
      </c>
      <c r="X317" s="184">
        <f t="shared" si="99"/>
        <v>0</v>
      </c>
      <c r="Y317" s="184">
        <f t="shared" si="100"/>
        <v>0</v>
      </c>
    </row>
    <row r="318" spans="22:25" ht="15">
      <c r="V318" s="144">
        <f t="shared" si="97"/>
        <v>312</v>
      </c>
      <c r="W318" s="184">
        <f t="shared" si="98"/>
        <v>0</v>
      </c>
      <c r="X318" s="184">
        <f t="shared" si="99"/>
        <v>0</v>
      </c>
      <c r="Y318" s="184">
        <f t="shared" si="100"/>
        <v>0</v>
      </c>
    </row>
    <row r="319" spans="22:25" ht="15">
      <c r="V319" s="144">
        <f t="shared" si="97"/>
        <v>313</v>
      </c>
      <c r="W319" s="184">
        <f t="shared" si="98"/>
        <v>0</v>
      </c>
      <c r="X319" s="184">
        <f t="shared" si="99"/>
        <v>0</v>
      </c>
      <c r="Y319" s="184">
        <f t="shared" si="100"/>
        <v>0</v>
      </c>
    </row>
    <row r="320" spans="22:25" ht="15">
      <c r="V320" s="144">
        <f t="shared" si="97"/>
        <v>314</v>
      </c>
      <c r="W320" s="184">
        <f t="shared" si="98"/>
        <v>0</v>
      </c>
      <c r="X320" s="184">
        <f t="shared" si="99"/>
        <v>0</v>
      </c>
      <c r="Y320" s="184">
        <f t="shared" si="100"/>
        <v>0</v>
      </c>
    </row>
    <row r="321" spans="22:25" ht="15">
      <c r="V321" s="144">
        <f t="shared" si="97"/>
        <v>315</v>
      </c>
      <c r="W321" s="184">
        <f t="shared" si="98"/>
        <v>0</v>
      </c>
      <c r="X321" s="184">
        <f t="shared" si="99"/>
        <v>0</v>
      </c>
      <c r="Y321" s="184">
        <f t="shared" si="100"/>
        <v>0</v>
      </c>
    </row>
    <row r="322" spans="22:25" ht="15">
      <c r="V322" s="144">
        <f t="shared" si="97"/>
        <v>316</v>
      </c>
      <c r="W322" s="184">
        <f t="shared" si="98"/>
        <v>0</v>
      </c>
      <c r="X322" s="184">
        <f t="shared" si="99"/>
        <v>0</v>
      </c>
      <c r="Y322" s="184">
        <f t="shared" si="100"/>
        <v>0</v>
      </c>
    </row>
    <row r="323" spans="22:25" ht="15">
      <c r="V323" s="144">
        <f t="shared" si="97"/>
        <v>317</v>
      </c>
      <c r="W323" s="184">
        <f t="shared" si="98"/>
        <v>0</v>
      </c>
      <c r="X323" s="184">
        <f t="shared" si="99"/>
        <v>0</v>
      </c>
      <c r="Y323" s="184">
        <f t="shared" si="100"/>
        <v>0</v>
      </c>
    </row>
    <row r="324" spans="22:25" ht="15">
      <c r="V324" s="144">
        <f t="shared" si="97"/>
        <v>318</v>
      </c>
      <c r="W324" s="184">
        <f t="shared" si="98"/>
        <v>0</v>
      </c>
      <c r="X324" s="184">
        <f t="shared" si="99"/>
        <v>0</v>
      </c>
      <c r="Y324" s="184">
        <f t="shared" si="100"/>
        <v>0</v>
      </c>
    </row>
    <row r="325" spans="22:25" ht="15">
      <c r="V325" s="144">
        <f t="shared" si="97"/>
        <v>319</v>
      </c>
      <c r="W325" s="184">
        <f t="shared" si="98"/>
        <v>0</v>
      </c>
      <c r="X325" s="184">
        <f t="shared" si="99"/>
        <v>0</v>
      </c>
      <c r="Y325" s="184">
        <f t="shared" si="100"/>
        <v>0</v>
      </c>
    </row>
    <row r="326" spans="22:25" ht="15">
      <c r="V326" s="144">
        <f t="shared" si="97"/>
        <v>320</v>
      </c>
      <c r="W326" s="184">
        <f t="shared" si="98"/>
        <v>0</v>
      </c>
      <c r="X326" s="184">
        <f t="shared" si="99"/>
        <v>0</v>
      </c>
      <c r="Y326" s="184">
        <f t="shared" si="100"/>
        <v>0</v>
      </c>
    </row>
    <row r="327" spans="22:25" ht="15">
      <c r="V327" s="144">
        <f t="shared" si="97"/>
        <v>321</v>
      </c>
      <c r="W327" s="184">
        <f t="shared" si="98"/>
        <v>0</v>
      </c>
      <c r="X327" s="184">
        <f t="shared" si="99"/>
        <v>0</v>
      </c>
      <c r="Y327" s="184">
        <f t="shared" si="100"/>
        <v>0</v>
      </c>
    </row>
    <row r="328" spans="22:25" ht="15">
      <c r="V328" s="144">
        <f t="shared" si="97"/>
        <v>322</v>
      </c>
      <c r="W328" s="184">
        <f t="shared" si="98"/>
        <v>0</v>
      </c>
      <c r="X328" s="184">
        <f t="shared" si="99"/>
        <v>0</v>
      </c>
      <c r="Y328" s="184">
        <f t="shared" si="100"/>
        <v>0</v>
      </c>
    </row>
    <row r="329" spans="22:25" ht="15">
      <c r="V329" s="144">
        <f aca="true" t="shared" si="101" ref="V329:V392">1+V328</f>
        <v>323</v>
      </c>
      <c r="W329" s="184">
        <f aca="true" t="shared" si="102" ref="W329:W392">IF($V329&lt;12*$Q$17,W328+$Q$16*POWER(1+$Q$15/12,-($V329-1)),0)</f>
        <v>0</v>
      </c>
      <c r="X329" s="184">
        <f aca="true" t="shared" si="103" ref="X329:X392">IF($V329&lt;12*$Q$18,X328+$Q$16*POWER(1+$Q$15/12,-($V329-1)),0)</f>
        <v>0</v>
      </c>
      <c r="Y329" s="184">
        <f aca="true" t="shared" si="104" ref="Y329:Y392">IF(AND($V329&lt;12*$Q$17,$V329&lt;12*$Q$18),Y328+($Q$16/2)*POWER(1+$Q$15/12,-($V329-1)),0)</f>
        <v>0</v>
      </c>
    </row>
    <row r="330" spans="22:25" ht="15">
      <c r="V330" s="144">
        <f t="shared" si="101"/>
        <v>324</v>
      </c>
      <c r="W330" s="184">
        <f t="shared" si="102"/>
        <v>0</v>
      </c>
      <c r="X330" s="184">
        <f t="shared" si="103"/>
        <v>0</v>
      </c>
      <c r="Y330" s="184">
        <f t="shared" si="104"/>
        <v>0</v>
      </c>
    </row>
    <row r="331" spans="22:25" ht="15">
      <c r="V331" s="144">
        <f t="shared" si="101"/>
        <v>325</v>
      </c>
      <c r="W331" s="184">
        <f t="shared" si="102"/>
        <v>0</v>
      </c>
      <c r="X331" s="184">
        <f t="shared" si="103"/>
        <v>0</v>
      </c>
      <c r="Y331" s="184">
        <f t="shared" si="104"/>
        <v>0</v>
      </c>
    </row>
    <row r="332" spans="22:25" ht="15">
      <c r="V332" s="144">
        <f t="shared" si="101"/>
        <v>326</v>
      </c>
      <c r="W332" s="184">
        <f t="shared" si="102"/>
        <v>0</v>
      </c>
      <c r="X332" s="184">
        <f t="shared" si="103"/>
        <v>0</v>
      </c>
      <c r="Y332" s="184">
        <f t="shared" si="104"/>
        <v>0</v>
      </c>
    </row>
    <row r="333" spans="22:25" ht="15">
      <c r="V333" s="144">
        <f t="shared" si="101"/>
        <v>327</v>
      </c>
      <c r="W333" s="184">
        <f t="shared" si="102"/>
        <v>0</v>
      </c>
      <c r="X333" s="184">
        <f t="shared" si="103"/>
        <v>0</v>
      </c>
      <c r="Y333" s="184">
        <f t="shared" si="104"/>
        <v>0</v>
      </c>
    </row>
    <row r="334" spans="22:25" ht="15">
      <c r="V334" s="144">
        <f t="shared" si="101"/>
        <v>328</v>
      </c>
      <c r="W334" s="184">
        <f t="shared" si="102"/>
        <v>0</v>
      </c>
      <c r="X334" s="184">
        <f t="shared" si="103"/>
        <v>0</v>
      </c>
      <c r="Y334" s="184">
        <f t="shared" si="104"/>
        <v>0</v>
      </c>
    </row>
    <row r="335" spans="22:25" ht="15">
      <c r="V335" s="144">
        <f t="shared" si="101"/>
        <v>329</v>
      </c>
      <c r="W335" s="184">
        <f t="shared" si="102"/>
        <v>0</v>
      </c>
      <c r="X335" s="184">
        <f t="shared" si="103"/>
        <v>0</v>
      </c>
      <c r="Y335" s="184">
        <f t="shared" si="104"/>
        <v>0</v>
      </c>
    </row>
    <row r="336" spans="22:25" ht="15">
      <c r="V336" s="144">
        <f t="shared" si="101"/>
        <v>330</v>
      </c>
      <c r="W336" s="184">
        <f t="shared" si="102"/>
        <v>0</v>
      </c>
      <c r="X336" s="184">
        <f t="shared" si="103"/>
        <v>0</v>
      </c>
      <c r="Y336" s="184">
        <f t="shared" si="104"/>
        <v>0</v>
      </c>
    </row>
    <row r="337" spans="22:25" ht="15">
      <c r="V337" s="144">
        <f t="shared" si="101"/>
        <v>331</v>
      </c>
      <c r="W337" s="184">
        <f t="shared" si="102"/>
        <v>0</v>
      </c>
      <c r="X337" s="184">
        <f t="shared" si="103"/>
        <v>0</v>
      </c>
      <c r="Y337" s="184">
        <f t="shared" si="104"/>
        <v>0</v>
      </c>
    </row>
    <row r="338" spans="22:25" ht="15">
      <c r="V338" s="144">
        <f t="shared" si="101"/>
        <v>332</v>
      </c>
      <c r="W338" s="184">
        <f t="shared" si="102"/>
        <v>0</v>
      </c>
      <c r="X338" s="184">
        <f t="shared" si="103"/>
        <v>0</v>
      </c>
      <c r="Y338" s="184">
        <f t="shared" si="104"/>
        <v>0</v>
      </c>
    </row>
    <row r="339" spans="22:25" ht="15">
      <c r="V339" s="144">
        <f t="shared" si="101"/>
        <v>333</v>
      </c>
      <c r="W339" s="184">
        <f t="shared" si="102"/>
        <v>0</v>
      </c>
      <c r="X339" s="184">
        <f t="shared" si="103"/>
        <v>0</v>
      </c>
      <c r="Y339" s="184">
        <f t="shared" si="104"/>
        <v>0</v>
      </c>
    </row>
    <row r="340" spans="22:25" ht="15">
      <c r="V340" s="144">
        <f t="shared" si="101"/>
        <v>334</v>
      </c>
      <c r="W340" s="184">
        <f t="shared" si="102"/>
        <v>0</v>
      </c>
      <c r="X340" s="184">
        <f t="shared" si="103"/>
        <v>0</v>
      </c>
      <c r="Y340" s="184">
        <f t="shared" si="104"/>
        <v>0</v>
      </c>
    </row>
    <row r="341" spans="22:25" ht="15">
      <c r="V341" s="144">
        <f t="shared" si="101"/>
        <v>335</v>
      </c>
      <c r="W341" s="184">
        <f t="shared" si="102"/>
        <v>0</v>
      </c>
      <c r="X341" s="184">
        <f t="shared" si="103"/>
        <v>0</v>
      </c>
      <c r="Y341" s="184">
        <f t="shared" si="104"/>
        <v>0</v>
      </c>
    </row>
    <row r="342" spans="22:25" ht="15">
      <c r="V342" s="144">
        <f t="shared" si="101"/>
        <v>336</v>
      </c>
      <c r="W342" s="184">
        <f t="shared" si="102"/>
        <v>0</v>
      </c>
      <c r="X342" s="184">
        <f t="shared" si="103"/>
        <v>0</v>
      </c>
      <c r="Y342" s="184">
        <f t="shared" si="104"/>
        <v>0</v>
      </c>
    </row>
    <row r="343" spans="22:25" ht="15">
      <c r="V343" s="144">
        <f t="shared" si="101"/>
        <v>337</v>
      </c>
      <c r="W343" s="184">
        <f t="shared" si="102"/>
        <v>0</v>
      </c>
      <c r="X343" s="184">
        <f t="shared" si="103"/>
        <v>0</v>
      </c>
      <c r="Y343" s="184">
        <f t="shared" si="104"/>
        <v>0</v>
      </c>
    </row>
    <row r="344" spans="22:25" ht="15">
      <c r="V344" s="144">
        <f t="shared" si="101"/>
        <v>338</v>
      </c>
      <c r="W344" s="184">
        <f t="shared" si="102"/>
        <v>0</v>
      </c>
      <c r="X344" s="184">
        <f t="shared" si="103"/>
        <v>0</v>
      </c>
      <c r="Y344" s="184">
        <f t="shared" si="104"/>
        <v>0</v>
      </c>
    </row>
    <row r="345" spans="22:25" ht="15">
      <c r="V345" s="144">
        <f t="shared" si="101"/>
        <v>339</v>
      </c>
      <c r="W345" s="184">
        <f t="shared" si="102"/>
        <v>0</v>
      </c>
      <c r="X345" s="184">
        <f t="shared" si="103"/>
        <v>0</v>
      </c>
      <c r="Y345" s="184">
        <f t="shared" si="104"/>
        <v>0</v>
      </c>
    </row>
    <row r="346" spans="22:25" ht="15">
      <c r="V346" s="144">
        <f t="shared" si="101"/>
        <v>340</v>
      </c>
      <c r="W346" s="184">
        <f t="shared" si="102"/>
        <v>0</v>
      </c>
      <c r="X346" s="184">
        <f t="shared" si="103"/>
        <v>0</v>
      </c>
      <c r="Y346" s="184">
        <f t="shared" si="104"/>
        <v>0</v>
      </c>
    </row>
    <row r="347" spans="22:25" ht="15">
      <c r="V347" s="144">
        <f t="shared" si="101"/>
        <v>341</v>
      </c>
      <c r="W347" s="184">
        <f t="shared" si="102"/>
        <v>0</v>
      </c>
      <c r="X347" s="184">
        <f t="shared" si="103"/>
        <v>0</v>
      </c>
      <c r="Y347" s="184">
        <f t="shared" si="104"/>
        <v>0</v>
      </c>
    </row>
    <row r="348" spans="22:25" ht="15">
      <c r="V348" s="144">
        <f t="shared" si="101"/>
        <v>342</v>
      </c>
      <c r="W348" s="184">
        <f t="shared" si="102"/>
        <v>0</v>
      </c>
      <c r="X348" s="184">
        <f t="shared" si="103"/>
        <v>0</v>
      </c>
      <c r="Y348" s="184">
        <f t="shared" si="104"/>
        <v>0</v>
      </c>
    </row>
    <row r="349" spans="22:25" ht="15">
      <c r="V349" s="144">
        <f t="shared" si="101"/>
        <v>343</v>
      </c>
      <c r="W349" s="184">
        <f t="shared" si="102"/>
        <v>0</v>
      </c>
      <c r="X349" s="184">
        <f t="shared" si="103"/>
        <v>0</v>
      </c>
      <c r="Y349" s="184">
        <f t="shared" si="104"/>
        <v>0</v>
      </c>
    </row>
    <row r="350" spans="22:25" ht="15">
      <c r="V350" s="144">
        <f t="shared" si="101"/>
        <v>344</v>
      </c>
      <c r="W350" s="184">
        <f t="shared" si="102"/>
        <v>0</v>
      </c>
      <c r="X350" s="184">
        <f t="shared" si="103"/>
        <v>0</v>
      </c>
      <c r="Y350" s="184">
        <f t="shared" si="104"/>
        <v>0</v>
      </c>
    </row>
    <row r="351" spans="22:25" ht="15">
      <c r="V351" s="144">
        <f t="shared" si="101"/>
        <v>345</v>
      </c>
      <c r="W351" s="184">
        <f t="shared" si="102"/>
        <v>0</v>
      </c>
      <c r="X351" s="184">
        <f t="shared" si="103"/>
        <v>0</v>
      </c>
      <c r="Y351" s="184">
        <f t="shared" si="104"/>
        <v>0</v>
      </c>
    </row>
    <row r="352" spans="22:25" ht="15">
      <c r="V352" s="144">
        <f t="shared" si="101"/>
        <v>346</v>
      </c>
      <c r="W352" s="184">
        <f t="shared" si="102"/>
        <v>0</v>
      </c>
      <c r="X352" s="184">
        <f t="shared" si="103"/>
        <v>0</v>
      </c>
      <c r="Y352" s="184">
        <f t="shared" si="104"/>
        <v>0</v>
      </c>
    </row>
    <row r="353" spans="22:25" ht="15">
      <c r="V353" s="144">
        <f t="shared" si="101"/>
        <v>347</v>
      </c>
      <c r="W353" s="184">
        <f t="shared" si="102"/>
        <v>0</v>
      </c>
      <c r="X353" s="184">
        <f t="shared" si="103"/>
        <v>0</v>
      </c>
      <c r="Y353" s="184">
        <f t="shared" si="104"/>
        <v>0</v>
      </c>
    </row>
    <row r="354" spans="22:25" ht="15">
      <c r="V354" s="144">
        <f t="shared" si="101"/>
        <v>348</v>
      </c>
      <c r="W354" s="184">
        <f t="shared" si="102"/>
        <v>0</v>
      </c>
      <c r="X354" s="184">
        <f t="shared" si="103"/>
        <v>0</v>
      </c>
      <c r="Y354" s="184">
        <f t="shared" si="104"/>
        <v>0</v>
      </c>
    </row>
    <row r="355" spans="22:25" ht="15">
      <c r="V355" s="144">
        <f t="shared" si="101"/>
        <v>349</v>
      </c>
      <c r="W355" s="184">
        <f t="shared" si="102"/>
        <v>0</v>
      </c>
      <c r="X355" s="184">
        <f t="shared" si="103"/>
        <v>0</v>
      </c>
      <c r="Y355" s="184">
        <f t="shared" si="104"/>
        <v>0</v>
      </c>
    </row>
    <row r="356" spans="22:25" ht="15">
      <c r="V356" s="144">
        <f t="shared" si="101"/>
        <v>350</v>
      </c>
      <c r="W356" s="184">
        <f t="shared" si="102"/>
        <v>0</v>
      </c>
      <c r="X356" s="184">
        <f t="shared" si="103"/>
        <v>0</v>
      </c>
      <c r="Y356" s="184">
        <f t="shared" si="104"/>
        <v>0</v>
      </c>
    </row>
    <row r="357" spans="22:25" ht="15">
      <c r="V357" s="144">
        <f t="shared" si="101"/>
        <v>351</v>
      </c>
      <c r="W357" s="184">
        <f t="shared" si="102"/>
        <v>0</v>
      </c>
      <c r="X357" s="184">
        <f t="shared" si="103"/>
        <v>0</v>
      </c>
      <c r="Y357" s="184">
        <f t="shared" si="104"/>
        <v>0</v>
      </c>
    </row>
    <row r="358" spans="22:25" ht="15">
      <c r="V358" s="144">
        <f t="shared" si="101"/>
        <v>352</v>
      </c>
      <c r="W358" s="184">
        <f t="shared" si="102"/>
        <v>0</v>
      </c>
      <c r="X358" s="184">
        <f t="shared" si="103"/>
        <v>0</v>
      </c>
      <c r="Y358" s="184">
        <f t="shared" si="104"/>
        <v>0</v>
      </c>
    </row>
    <row r="359" spans="22:25" ht="15">
      <c r="V359" s="144">
        <f t="shared" si="101"/>
        <v>353</v>
      </c>
      <c r="W359" s="184">
        <f t="shared" si="102"/>
        <v>0</v>
      </c>
      <c r="X359" s="184">
        <f t="shared" si="103"/>
        <v>0</v>
      </c>
      <c r="Y359" s="184">
        <f t="shared" si="104"/>
        <v>0</v>
      </c>
    </row>
    <row r="360" spans="22:25" ht="15">
      <c r="V360" s="144">
        <f t="shared" si="101"/>
        <v>354</v>
      </c>
      <c r="W360" s="184">
        <f t="shared" si="102"/>
        <v>0</v>
      </c>
      <c r="X360" s="184">
        <f t="shared" si="103"/>
        <v>0</v>
      </c>
      <c r="Y360" s="184">
        <f t="shared" si="104"/>
        <v>0</v>
      </c>
    </row>
    <row r="361" spans="22:25" ht="15">
      <c r="V361" s="144">
        <f t="shared" si="101"/>
        <v>355</v>
      </c>
      <c r="W361" s="184">
        <f t="shared" si="102"/>
        <v>0</v>
      </c>
      <c r="X361" s="184">
        <f t="shared" si="103"/>
        <v>0</v>
      </c>
      <c r="Y361" s="184">
        <f t="shared" si="104"/>
        <v>0</v>
      </c>
    </row>
    <row r="362" spans="22:25" ht="15">
      <c r="V362" s="144">
        <f t="shared" si="101"/>
        <v>356</v>
      </c>
      <c r="W362" s="184">
        <f t="shared" si="102"/>
        <v>0</v>
      </c>
      <c r="X362" s="184">
        <f t="shared" si="103"/>
        <v>0</v>
      </c>
      <c r="Y362" s="184">
        <f t="shared" si="104"/>
        <v>0</v>
      </c>
    </row>
    <row r="363" spans="22:25" ht="15">
      <c r="V363" s="144">
        <f t="shared" si="101"/>
        <v>357</v>
      </c>
      <c r="W363" s="184">
        <f t="shared" si="102"/>
        <v>0</v>
      </c>
      <c r="X363" s="184">
        <f t="shared" si="103"/>
        <v>0</v>
      </c>
      <c r="Y363" s="184">
        <f t="shared" si="104"/>
        <v>0</v>
      </c>
    </row>
    <row r="364" spans="22:25" ht="15">
      <c r="V364" s="144">
        <f t="shared" si="101"/>
        <v>358</v>
      </c>
      <c r="W364" s="184">
        <f t="shared" si="102"/>
        <v>0</v>
      </c>
      <c r="X364" s="184">
        <f t="shared" si="103"/>
        <v>0</v>
      </c>
      <c r="Y364" s="184">
        <f t="shared" si="104"/>
        <v>0</v>
      </c>
    </row>
    <row r="365" spans="22:25" ht="15">
      <c r="V365" s="144">
        <f t="shared" si="101"/>
        <v>359</v>
      </c>
      <c r="W365" s="184">
        <f t="shared" si="102"/>
        <v>0</v>
      </c>
      <c r="X365" s="184">
        <f t="shared" si="103"/>
        <v>0</v>
      </c>
      <c r="Y365" s="184">
        <f t="shared" si="104"/>
        <v>0</v>
      </c>
    </row>
    <row r="366" spans="22:25" ht="15">
      <c r="V366" s="144">
        <f t="shared" si="101"/>
        <v>360</v>
      </c>
      <c r="W366" s="184">
        <f t="shared" si="102"/>
        <v>0</v>
      </c>
      <c r="X366" s="184">
        <f t="shared" si="103"/>
        <v>0</v>
      </c>
      <c r="Y366" s="184">
        <f t="shared" si="104"/>
        <v>0</v>
      </c>
    </row>
    <row r="367" spans="22:25" ht="15">
      <c r="V367" s="144">
        <f t="shared" si="101"/>
        <v>361</v>
      </c>
      <c r="W367" s="184">
        <f t="shared" si="102"/>
        <v>0</v>
      </c>
      <c r="X367" s="184">
        <f t="shared" si="103"/>
        <v>0</v>
      </c>
      <c r="Y367" s="184">
        <f t="shared" si="104"/>
        <v>0</v>
      </c>
    </row>
    <row r="368" spans="22:25" ht="15">
      <c r="V368" s="144">
        <f t="shared" si="101"/>
        <v>362</v>
      </c>
      <c r="W368" s="184">
        <f t="shared" si="102"/>
        <v>0</v>
      </c>
      <c r="X368" s="184">
        <f t="shared" si="103"/>
        <v>0</v>
      </c>
      <c r="Y368" s="184">
        <f t="shared" si="104"/>
        <v>0</v>
      </c>
    </row>
    <row r="369" spans="22:25" ht="15">
      <c r="V369" s="144">
        <f t="shared" si="101"/>
        <v>363</v>
      </c>
      <c r="W369" s="184">
        <f t="shared" si="102"/>
        <v>0</v>
      </c>
      <c r="X369" s="184">
        <f t="shared" si="103"/>
        <v>0</v>
      </c>
      <c r="Y369" s="184">
        <f t="shared" si="104"/>
        <v>0</v>
      </c>
    </row>
    <row r="370" spans="22:25" ht="15">
      <c r="V370" s="144">
        <f t="shared" si="101"/>
        <v>364</v>
      </c>
      <c r="W370" s="184">
        <f t="shared" si="102"/>
        <v>0</v>
      </c>
      <c r="X370" s="184">
        <f t="shared" si="103"/>
        <v>0</v>
      </c>
      <c r="Y370" s="184">
        <f t="shared" si="104"/>
        <v>0</v>
      </c>
    </row>
    <row r="371" spans="22:25" ht="15">
      <c r="V371" s="144">
        <f t="shared" si="101"/>
        <v>365</v>
      </c>
      <c r="W371" s="184">
        <f t="shared" si="102"/>
        <v>0</v>
      </c>
      <c r="X371" s="184">
        <f t="shared" si="103"/>
        <v>0</v>
      </c>
      <c r="Y371" s="184">
        <f t="shared" si="104"/>
        <v>0</v>
      </c>
    </row>
    <row r="372" spans="22:25" ht="15">
      <c r="V372" s="144">
        <f t="shared" si="101"/>
        <v>366</v>
      </c>
      <c r="W372" s="184">
        <f t="shared" si="102"/>
        <v>0</v>
      </c>
      <c r="X372" s="184">
        <f t="shared" si="103"/>
        <v>0</v>
      </c>
      <c r="Y372" s="184">
        <f t="shared" si="104"/>
        <v>0</v>
      </c>
    </row>
    <row r="373" spans="22:25" ht="15">
      <c r="V373" s="144">
        <f t="shared" si="101"/>
        <v>367</v>
      </c>
      <c r="W373" s="184">
        <f t="shared" si="102"/>
        <v>0</v>
      </c>
      <c r="X373" s="184">
        <f t="shared" si="103"/>
        <v>0</v>
      </c>
      <c r="Y373" s="184">
        <f t="shared" si="104"/>
        <v>0</v>
      </c>
    </row>
    <row r="374" spans="22:25" ht="15">
      <c r="V374" s="144">
        <f t="shared" si="101"/>
        <v>368</v>
      </c>
      <c r="W374" s="184">
        <f t="shared" si="102"/>
        <v>0</v>
      </c>
      <c r="X374" s="184">
        <f t="shared" si="103"/>
        <v>0</v>
      </c>
      <c r="Y374" s="184">
        <f t="shared" si="104"/>
        <v>0</v>
      </c>
    </row>
    <row r="375" spans="22:25" ht="15">
      <c r="V375" s="144">
        <f t="shared" si="101"/>
        <v>369</v>
      </c>
      <c r="W375" s="184">
        <f t="shared" si="102"/>
        <v>0</v>
      </c>
      <c r="X375" s="184">
        <f t="shared" si="103"/>
        <v>0</v>
      </c>
      <c r="Y375" s="184">
        <f t="shared" si="104"/>
        <v>0</v>
      </c>
    </row>
    <row r="376" spans="22:25" ht="15">
      <c r="V376" s="144">
        <f t="shared" si="101"/>
        <v>370</v>
      </c>
      <c r="W376" s="184">
        <f t="shared" si="102"/>
        <v>0</v>
      </c>
      <c r="X376" s="184">
        <f t="shared" si="103"/>
        <v>0</v>
      </c>
      <c r="Y376" s="184">
        <f t="shared" si="104"/>
        <v>0</v>
      </c>
    </row>
    <row r="377" spans="22:25" ht="15">
      <c r="V377" s="144">
        <f t="shared" si="101"/>
        <v>371</v>
      </c>
      <c r="W377" s="184">
        <f t="shared" si="102"/>
        <v>0</v>
      </c>
      <c r="X377" s="184">
        <f t="shared" si="103"/>
        <v>0</v>
      </c>
      <c r="Y377" s="184">
        <f t="shared" si="104"/>
        <v>0</v>
      </c>
    </row>
    <row r="378" spans="22:25" ht="15">
      <c r="V378" s="144">
        <f t="shared" si="101"/>
        <v>372</v>
      </c>
      <c r="W378" s="184">
        <f t="shared" si="102"/>
        <v>0</v>
      </c>
      <c r="X378" s="184">
        <f t="shared" si="103"/>
        <v>0</v>
      </c>
      <c r="Y378" s="184">
        <f t="shared" si="104"/>
        <v>0</v>
      </c>
    </row>
    <row r="379" spans="22:25" ht="15">
      <c r="V379" s="144">
        <f t="shared" si="101"/>
        <v>373</v>
      </c>
      <c r="W379" s="184">
        <f t="shared" si="102"/>
        <v>0</v>
      </c>
      <c r="X379" s="184">
        <f t="shared" si="103"/>
        <v>0</v>
      </c>
      <c r="Y379" s="184">
        <f t="shared" si="104"/>
        <v>0</v>
      </c>
    </row>
    <row r="380" spans="22:25" ht="15">
      <c r="V380" s="144">
        <f t="shared" si="101"/>
        <v>374</v>
      </c>
      <c r="W380" s="184">
        <f t="shared" si="102"/>
        <v>0</v>
      </c>
      <c r="X380" s="184">
        <f t="shared" si="103"/>
        <v>0</v>
      </c>
      <c r="Y380" s="184">
        <f t="shared" si="104"/>
        <v>0</v>
      </c>
    </row>
    <row r="381" spans="22:25" ht="15">
      <c r="V381" s="144">
        <f t="shared" si="101"/>
        <v>375</v>
      </c>
      <c r="W381" s="184">
        <f t="shared" si="102"/>
        <v>0</v>
      </c>
      <c r="X381" s="184">
        <f t="shared" si="103"/>
        <v>0</v>
      </c>
      <c r="Y381" s="184">
        <f t="shared" si="104"/>
        <v>0</v>
      </c>
    </row>
    <row r="382" spans="22:25" ht="15">
      <c r="V382" s="144">
        <f t="shared" si="101"/>
        <v>376</v>
      </c>
      <c r="W382" s="184">
        <f t="shared" si="102"/>
        <v>0</v>
      </c>
      <c r="X382" s="184">
        <f t="shared" si="103"/>
        <v>0</v>
      </c>
      <c r="Y382" s="184">
        <f t="shared" si="104"/>
        <v>0</v>
      </c>
    </row>
    <row r="383" spans="22:25" ht="15">
      <c r="V383" s="144">
        <f t="shared" si="101"/>
        <v>377</v>
      </c>
      <c r="W383" s="184">
        <f t="shared" si="102"/>
        <v>0</v>
      </c>
      <c r="X383" s="184">
        <f t="shared" si="103"/>
        <v>0</v>
      </c>
      <c r="Y383" s="184">
        <f t="shared" si="104"/>
        <v>0</v>
      </c>
    </row>
    <row r="384" spans="22:25" ht="15">
      <c r="V384" s="144">
        <f t="shared" si="101"/>
        <v>378</v>
      </c>
      <c r="W384" s="184">
        <f t="shared" si="102"/>
        <v>0</v>
      </c>
      <c r="X384" s="184">
        <f t="shared" si="103"/>
        <v>0</v>
      </c>
      <c r="Y384" s="184">
        <f t="shared" si="104"/>
        <v>0</v>
      </c>
    </row>
    <row r="385" spans="22:25" ht="15">
      <c r="V385" s="144">
        <f t="shared" si="101"/>
        <v>379</v>
      </c>
      <c r="W385" s="184">
        <f t="shared" si="102"/>
        <v>0</v>
      </c>
      <c r="X385" s="184">
        <f t="shared" si="103"/>
        <v>0</v>
      </c>
      <c r="Y385" s="184">
        <f t="shared" si="104"/>
        <v>0</v>
      </c>
    </row>
    <row r="386" spans="22:25" ht="15">
      <c r="V386" s="144">
        <f t="shared" si="101"/>
        <v>380</v>
      </c>
      <c r="W386" s="184">
        <f t="shared" si="102"/>
        <v>0</v>
      </c>
      <c r="X386" s="184">
        <f t="shared" si="103"/>
        <v>0</v>
      </c>
      <c r="Y386" s="184">
        <f t="shared" si="104"/>
        <v>0</v>
      </c>
    </row>
    <row r="387" spans="22:25" ht="15">
      <c r="V387" s="144">
        <f t="shared" si="101"/>
        <v>381</v>
      </c>
      <c r="W387" s="184">
        <f t="shared" si="102"/>
        <v>0</v>
      </c>
      <c r="X387" s="184">
        <f t="shared" si="103"/>
        <v>0</v>
      </c>
      <c r="Y387" s="184">
        <f t="shared" si="104"/>
        <v>0</v>
      </c>
    </row>
    <row r="388" spans="22:25" ht="15">
      <c r="V388" s="144">
        <f t="shared" si="101"/>
        <v>382</v>
      </c>
      <c r="W388" s="184">
        <f t="shared" si="102"/>
        <v>0</v>
      </c>
      <c r="X388" s="184">
        <f t="shared" si="103"/>
        <v>0</v>
      </c>
      <c r="Y388" s="184">
        <f t="shared" si="104"/>
        <v>0</v>
      </c>
    </row>
    <row r="389" spans="22:25" ht="15">
      <c r="V389" s="144">
        <f t="shared" si="101"/>
        <v>383</v>
      </c>
      <c r="W389" s="184">
        <f t="shared" si="102"/>
        <v>0</v>
      </c>
      <c r="X389" s="184">
        <f t="shared" si="103"/>
        <v>0</v>
      </c>
      <c r="Y389" s="184">
        <f t="shared" si="104"/>
        <v>0</v>
      </c>
    </row>
    <row r="390" spans="22:25" ht="15">
      <c r="V390" s="144">
        <f t="shared" si="101"/>
        <v>384</v>
      </c>
      <c r="W390" s="184">
        <f t="shared" si="102"/>
        <v>0</v>
      </c>
      <c r="X390" s="184">
        <f t="shared" si="103"/>
        <v>0</v>
      </c>
      <c r="Y390" s="184">
        <f t="shared" si="104"/>
        <v>0</v>
      </c>
    </row>
    <row r="391" spans="22:25" ht="15">
      <c r="V391" s="144">
        <f t="shared" si="101"/>
        <v>385</v>
      </c>
      <c r="W391" s="184">
        <f t="shared" si="102"/>
        <v>0</v>
      </c>
      <c r="X391" s="184">
        <f t="shared" si="103"/>
        <v>0</v>
      </c>
      <c r="Y391" s="184">
        <f t="shared" si="104"/>
        <v>0</v>
      </c>
    </row>
    <row r="392" spans="22:25" ht="15">
      <c r="V392" s="144">
        <f t="shared" si="101"/>
        <v>386</v>
      </c>
      <c r="W392" s="184">
        <f t="shared" si="102"/>
        <v>0</v>
      </c>
      <c r="X392" s="184">
        <f t="shared" si="103"/>
        <v>0</v>
      </c>
      <c r="Y392" s="184">
        <f t="shared" si="104"/>
        <v>0</v>
      </c>
    </row>
    <row r="393" spans="22:25" ht="15">
      <c r="V393" s="144">
        <f aca="true" t="shared" si="105" ref="V393:V456">1+V392</f>
        <v>387</v>
      </c>
      <c r="W393" s="184">
        <f aca="true" t="shared" si="106" ref="W393:W456">IF($V393&lt;12*$Q$17,W392+$Q$16*POWER(1+$Q$15/12,-($V393-1)),0)</f>
        <v>0</v>
      </c>
      <c r="X393" s="184">
        <f aca="true" t="shared" si="107" ref="X393:X456">IF($V393&lt;12*$Q$18,X392+$Q$16*POWER(1+$Q$15/12,-($V393-1)),0)</f>
        <v>0</v>
      </c>
      <c r="Y393" s="184">
        <f aca="true" t="shared" si="108" ref="Y393:Y456">IF(AND($V393&lt;12*$Q$17,$V393&lt;12*$Q$18),Y392+($Q$16/2)*POWER(1+$Q$15/12,-($V393-1)),0)</f>
        <v>0</v>
      </c>
    </row>
    <row r="394" spans="22:25" ht="15">
      <c r="V394" s="144">
        <f t="shared" si="105"/>
        <v>388</v>
      </c>
      <c r="W394" s="184">
        <f t="shared" si="106"/>
        <v>0</v>
      </c>
      <c r="X394" s="184">
        <f t="shared" si="107"/>
        <v>0</v>
      </c>
      <c r="Y394" s="184">
        <f t="shared" si="108"/>
        <v>0</v>
      </c>
    </row>
    <row r="395" spans="22:25" ht="15">
      <c r="V395" s="144">
        <f t="shared" si="105"/>
        <v>389</v>
      </c>
      <c r="W395" s="184">
        <f t="shared" si="106"/>
        <v>0</v>
      </c>
      <c r="X395" s="184">
        <f t="shared" si="107"/>
        <v>0</v>
      </c>
      <c r="Y395" s="184">
        <f t="shared" si="108"/>
        <v>0</v>
      </c>
    </row>
    <row r="396" spans="22:25" ht="15">
      <c r="V396" s="144">
        <f t="shared" si="105"/>
        <v>390</v>
      </c>
      <c r="W396" s="184">
        <f t="shared" si="106"/>
        <v>0</v>
      </c>
      <c r="X396" s="184">
        <f t="shared" si="107"/>
        <v>0</v>
      </c>
      <c r="Y396" s="184">
        <f t="shared" si="108"/>
        <v>0</v>
      </c>
    </row>
    <row r="397" spans="22:25" ht="15">
      <c r="V397" s="144">
        <f t="shared" si="105"/>
        <v>391</v>
      </c>
      <c r="W397" s="184">
        <f t="shared" si="106"/>
        <v>0</v>
      </c>
      <c r="X397" s="184">
        <f t="shared" si="107"/>
        <v>0</v>
      </c>
      <c r="Y397" s="184">
        <f t="shared" si="108"/>
        <v>0</v>
      </c>
    </row>
    <row r="398" spans="22:25" ht="15">
      <c r="V398" s="144">
        <f t="shared" si="105"/>
        <v>392</v>
      </c>
      <c r="W398" s="184">
        <f t="shared" si="106"/>
        <v>0</v>
      </c>
      <c r="X398" s="184">
        <f t="shared" si="107"/>
        <v>0</v>
      </c>
      <c r="Y398" s="184">
        <f t="shared" si="108"/>
        <v>0</v>
      </c>
    </row>
    <row r="399" spans="22:25" ht="15">
      <c r="V399" s="144">
        <f t="shared" si="105"/>
        <v>393</v>
      </c>
      <c r="W399" s="184">
        <f t="shared" si="106"/>
        <v>0</v>
      </c>
      <c r="X399" s="184">
        <f t="shared" si="107"/>
        <v>0</v>
      </c>
      <c r="Y399" s="184">
        <f t="shared" si="108"/>
        <v>0</v>
      </c>
    </row>
    <row r="400" spans="22:25" ht="15">
      <c r="V400" s="144">
        <f t="shared" si="105"/>
        <v>394</v>
      </c>
      <c r="W400" s="184">
        <f t="shared" si="106"/>
        <v>0</v>
      </c>
      <c r="X400" s="184">
        <f t="shared" si="107"/>
        <v>0</v>
      </c>
      <c r="Y400" s="184">
        <f t="shared" si="108"/>
        <v>0</v>
      </c>
    </row>
    <row r="401" spans="22:25" ht="15">
      <c r="V401" s="144">
        <f t="shared" si="105"/>
        <v>395</v>
      </c>
      <c r="W401" s="184">
        <f t="shared" si="106"/>
        <v>0</v>
      </c>
      <c r="X401" s="184">
        <f t="shared" si="107"/>
        <v>0</v>
      </c>
      <c r="Y401" s="184">
        <f t="shared" si="108"/>
        <v>0</v>
      </c>
    </row>
    <row r="402" spans="22:25" ht="15">
      <c r="V402" s="144">
        <f t="shared" si="105"/>
        <v>396</v>
      </c>
      <c r="W402" s="184">
        <f t="shared" si="106"/>
        <v>0</v>
      </c>
      <c r="X402" s="184">
        <f t="shared" si="107"/>
        <v>0</v>
      </c>
      <c r="Y402" s="184">
        <f t="shared" si="108"/>
        <v>0</v>
      </c>
    </row>
    <row r="403" spans="22:25" ht="15">
      <c r="V403" s="144">
        <f t="shared" si="105"/>
        <v>397</v>
      </c>
      <c r="W403" s="184">
        <f t="shared" si="106"/>
        <v>0</v>
      </c>
      <c r="X403" s="184">
        <f t="shared" si="107"/>
        <v>0</v>
      </c>
      <c r="Y403" s="184">
        <f t="shared" si="108"/>
        <v>0</v>
      </c>
    </row>
    <row r="404" spans="22:25" ht="15">
      <c r="V404" s="144">
        <f t="shared" si="105"/>
        <v>398</v>
      </c>
      <c r="W404" s="184">
        <f t="shared" si="106"/>
        <v>0</v>
      </c>
      <c r="X404" s="184">
        <f t="shared" si="107"/>
        <v>0</v>
      </c>
      <c r="Y404" s="184">
        <f t="shared" si="108"/>
        <v>0</v>
      </c>
    </row>
    <row r="405" spans="22:25" ht="15">
      <c r="V405" s="144">
        <f t="shared" si="105"/>
        <v>399</v>
      </c>
      <c r="W405" s="184">
        <f t="shared" si="106"/>
        <v>0</v>
      </c>
      <c r="X405" s="184">
        <f t="shared" si="107"/>
        <v>0</v>
      </c>
      <c r="Y405" s="184">
        <f t="shared" si="108"/>
        <v>0</v>
      </c>
    </row>
    <row r="406" spans="22:25" ht="15">
      <c r="V406" s="144">
        <f t="shared" si="105"/>
        <v>400</v>
      </c>
      <c r="W406" s="184">
        <f t="shared" si="106"/>
        <v>0</v>
      </c>
      <c r="X406" s="184">
        <f t="shared" si="107"/>
        <v>0</v>
      </c>
      <c r="Y406" s="184">
        <f t="shared" si="108"/>
        <v>0</v>
      </c>
    </row>
    <row r="407" spans="22:25" ht="15">
      <c r="V407" s="144">
        <f t="shared" si="105"/>
        <v>401</v>
      </c>
      <c r="W407" s="184">
        <f t="shared" si="106"/>
        <v>0</v>
      </c>
      <c r="X407" s="184">
        <f t="shared" si="107"/>
        <v>0</v>
      </c>
      <c r="Y407" s="184">
        <f t="shared" si="108"/>
        <v>0</v>
      </c>
    </row>
    <row r="408" spans="22:25" ht="15">
      <c r="V408" s="144">
        <f t="shared" si="105"/>
        <v>402</v>
      </c>
      <c r="W408" s="184">
        <f t="shared" si="106"/>
        <v>0</v>
      </c>
      <c r="X408" s="184">
        <f t="shared" si="107"/>
        <v>0</v>
      </c>
      <c r="Y408" s="184">
        <f t="shared" si="108"/>
        <v>0</v>
      </c>
    </row>
    <row r="409" spans="22:25" ht="15">
      <c r="V409" s="144">
        <f t="shared" si="105"/>
        <v>403</v>
      </c>
      <c r="W409" s="184">
        <f t="shared" si="106"/>
        <v>0</v>
      </c>
      <c r="X409" s="184">
        <f t="shared" si="107"/>
        <v>0</v>
      </c>
      <c r="Y409" s="184">
        <f t="shared" si="108"/>
        <v>0</v>
      </c>
    </row>
    <row r="410" spans="22:25" ht="15">
      <c r="V410" s="144">
        <f t="shared" si="105"/>
        <v>404</v>
      </c>
      <c r="W410" s="184">
        <f t="shared" si="106"/>
        <v>0</v>
      </c>
      <c r="X410" s="184">
        <f t="shared" si="107"/>
        <v>0</v>
      </c>
      <c r="Y410" s="184">
        <f t="shared" si="108"/>
        <v>0</v>
      </c>
    </row>
    <row r="411" spans="22:25" ht="15">
      <c r="V411" s="144">
        <f t="shared" si="105"/>
        <v>405</v>
      </c>
      <c r="W411" s="184">
        <f t="shared" si="106"/>
        <v>0</v>
      </c>
      <c r="X411" s="184">
        <f t="shared" si="107"/>
        <v>0</v>
      </c>
      <c r="Y411" s="184">
        <f t="shared" si="108"/>
        <v>0</v>
      </c>
    </row>
    <row r="412" spans="22:25" ht="15">
      <c r="V412" s="144">
        <f t="shared" si="105"/>
        <v>406</v>
      </c>
      <c r="W412" s="184">
        <f t="shared" si="106"/>
        <v>0</v>
      </c>
      <c r="X412" s="184">
        <f t="shared" si="107"/>
        <v>0</v>
      </c>
      <c r="Y412" s="184">
        <f t="shared" si="108"/>
        <v>0</v>
      </c>
    </row>
    <row r="413" spans="22:25" ht="15">
      <c r="V413" s="144">
        <f t="shared" si="105"/>
        <v>407</v>
      </c>
      <c r="W413" s="184">
        <f t="shared" si="106"/>
        <v>0</v>
      </c>
      <c r="X413" s="184">
        <f t="shared" si="107"/>
        <v>0</v>
      </c>
      <c r="Y413" s="184">
        <f t="shared" si="108"/>
        <v>0</v>
      </c>
    </row>
    <row r="414" spans="22:25" ht="15">
      <c r="V414" s="144">
        <f t="shared" si="105"/>
        <v>408</v>
      </c>
      <c r="W414" s="184">
        <f t="shared" si="106"/>
        <v>0</v>
      </c>
      <c r="X414" s="184">
        <f t="shared" si="107"/>
        <v>0</v>
      </c>
      <c r="Y414" s="184">
        <f t="shared" si="108"/>
        <v>0</v>
      </c>
    </row>
    <row r="415" spans="22:25" ht="15">
      <c r="V415" s="144">
        <f t="shared" si="105"/>
        <v>409</v>
      </c>
      <c r="W415" s="184">
        <f t="shared" si="106"/>
        <v>0</v>
      </c>
      <c r="X415" s="184">
        <f t="shared" si="107"/>
        <v>0</v>
      </c>
      <c r="Y415" s="184">
        <f t="shared" si="108"/>
        <v>0</v>
      </c>
    </row>
    <row r="416" spans="22:25" ht="15">
      <c r="V416" s="144">
        <f t="shared" si="105"/>
        <v>410</v>
      </c>
      <c r="W416" s="184">
        <f t="shared" si="106"/>
        <v>0</v>
      </c>
      <c r="X416" s="184">
        <f t="shared" si="107"/>
        <v>0</v>
      </c>
      <c r="Y416" s="184">
        <f t="shared" si="108"/>
        <v>0</v>
      </c>
    </row>
    <row r="417" spans="22:25" ht="15">
      <c r="V417" s="144">
        <f t="shared" si="105"/>
        <v>411</v>
      </c>
      <c r="W417" s="184">
        <f t="shared" si="106"/>
        <v>0</v>
      </c>
      <c r="X417" s="184">
        <f t="shared" si="107"/>
        <v>0</v>
      </c>
      <c r="Y417" s="184">
        <f t="shared" si="108"/>
        <v>0</v>
      </c>
    </row>
    <row r="418" spans="22:25" ht="15">
      <c r="V418" s="144">
        <f t="shared" si="105"/>
        <v>412</v>
      </c>
      <c r="W418" s="184">
        <f t="shared" si="106"/>
        <v>0</v>
      </c>
      <c r="X418" s="184">
        <f t="shared" si="107"/>
        <v>0</v>
      </c>
      <c r="Y418" s="184">
        <f t="shared" si="108"/>
        <v>0</v>
      </c>
    </row>
    <row r="419" spans="22:25" ht="15">
      <c r="V419" s="144">
        <f t="shared" si="105"/>
        <v>413</v>
      </c>
      <c r="W419" s="184">
        <f t="shared" si="106"/>
        <v>0</v>
      </c>
      <c r="X419" s="184">
        <f t="shared" si="107"/>
        <v>0</v>
      </c>
      <c r="Y419" s="184">
        <f t="shared" si="108"/>
        <v>0</v>
      </c>
    </row>
    <row r="420" spans="22:25" ht="15">
      <c r="V420" s="144">
        <f t="shared" si="105"/>
        <v>414</v>
      </c>
      <c r="W420" s="184">
        <f t="shared" si="106"/>
        <v>0</v>
      </c>
      <c r="X420" s="184">
        <f t="shared" si="107"/>
        <v>0</v>
      </c>
      <c r="Y420" s="184">
        <f t="shared" si="108"/>
        <v>0</v>
      </c>
    </row>
    <row r="421" spans="22:25" ht="15">
      <c r="V421" s="144">
        <f t="shared" si="105"/>
        <v>415</v>
      </c>
      <c r="W421" s="184">
        <f t="shared" si="106"/>
        <v>0</v>
      </c>
      <c r="X421" s="184">
        <f t="shared" si="107"/>
        <v>0</v>
      </c>
      <c r="Y421" s="184">
        <f t="shared" si="108"/>
        <v>0</v>
      </c>
    </row>
    <row r="422" spans="22:25" ht="15">
      <c r="V422" s="144">
        <f t="shared" si="105"/>
        <v>416</v>
      </c>
      <c r="W422" s="184">
        <f t="shared" si="106"/>
        <v>0</v>
      </c>
      <c r="X422" s="184">
        <f t="shared" si="107"/>
        <v>0</v>
      </c>
      <c r="Y422" s="184">
        <f t="shared" si="108"/>
        <v>0</v>
      </c>
    </row>
    <row r="423" spans="22:25" ht="15">
      <c r="V423" s="144">
        <f t="shared" si="105"/>
        <v>417</v>
      </c>
      <c r="W423" s="184">
        <f t="shared" si="106"/>
        <v>0</v>
      </c>
      <c r="X423" s="184">
        <f t="shared" si="107"/>
        <v>0</v>
      </c>
      <c r="Y423" s="184">
        <f t="shared" si="108"/>
        <v>0</v>
      </c>
    </row>
    <row r="424" spans="22:25" ht="15">
      <c r="V424" s="144">
        <f t="shared" si="105"/>
        <v>418</v>
      </c>
      <c r="W424" s="184">
        <f t="shared" si="106"/>
        <v>0</v>
      </c>
      <c r="X424" s="184">
        <f t="shared" si="107"/>
        <v>0</v>
      </c>
      <c r="Y424" s="184">
        <f t="shared" si="108"/>
        <v>0</v>
      </c>
    </row>
    <row r="425" spans="22:25" ht="15">
      <c r="V425" s="144">
        <f t="shared" si="105"/>
        <v>419</v>
      </c>
      <c r="W425" s="184">
        <f t="shared" si="106"/>
        <v>0</v>
      </c>
      <c r="X425" s="184">
        <f t="shared" si="107"/>
        <v>0</v>
      </c>
      <c r="Y425" s="184">
        <f t="shared" si="108"/>
        <v>0</v>
      </c>
    </row>
    <row r="426" spans="22:25" ht="15">
      <c r="V426" s="144">
        <f t="shared" si="105"/>
        <v>420</v>
      </c>
      <c r="W426" s="184">
        <f t="shared" si="106"/>
        <v>0</v>
      </c>
      <c r="X426" s="184">
        <f t="shared" si="107"/>
        <v>0</v>
      </c>
      <c r="Y426" s="184">
        <f t="shared" si="108"/>
        <v>0</v>
      </c>
    </row>
    <row r="427" spans="22:25" ht="15">
      <c r="V427" s="144">
        <f t="shared" si="105"/>
        <v>421</v>
      </c>
      <c r="W427" s="184">
        <f t="shared" si="106"/>
        <v>0</v>
      </c>
      <c r="X427" s="184">
        <f t="shared" si="107"/>
        <v>0</v>
      </c>
      <c r="Y427" s="184">
        <f t="shared" si="108"/>
        <v>0</v>
      </c>
    </row>
    <row r="428" spans="22:25" ht="15">
      <c r="V428" s="144">
        <f t="shared" si="105"/>
        <v>422</v>
      </c>
      <c r="W428" s="184">
        <f t="shared" si="106"/>
        <v>0</v>
      </c>
      <c r="X428" s="184">
        <f t="shared" si="107"/>
        <v>0</v>
      </c>
      <c r="Y428" s="184">
        <f t="shared" si="108"/>
        <v>0</v>
      </c>
    </row>
    <row r="429" spans="22:25" ht="15">
      <c r="V429" s="144">
        <f t="shared" si="105"/>
        <v>423</v>
      </c>
      <c r="W429" s="184">
        <f t="shared" si="106"/>
        <v>0</v>
      </c>
      <c r="X429" s="184">
        <f t="shared" si="107"/>
        <v>0</v>
      </c>
      <c r="Y429" s="184">
        <f t="shared" si="108"/>
        <v>0</v>
      </c>
    </row>
    <row r="430" spans="22:25" ht="15">
      <c r="V430" s="144">
        <f t="shared" si="105"/>
        <v>424</v>
      </c>
      <c r="W430" s="184">
        <f t="shared" si="106"/>
        <v>0</v>
      </c>
      <c r="X430" s="184">
        <f t="shared" si="107"/>
        <v>0</v>
      </c>
      <c r="Y430" s="184">
        <f t="shared" si="108"/>
        <v>0</v>
      </c>
    </row>
    <row r="431" spans="22:25" ht="15">
      <c r="V431" s="144">
        <f t="shared" si="105"/>
        <v>425</v>
      </c>
      <c r="W431" s="184">
        <f t="shared" si="106"/>
        <v>0</v>
      </c>
      <c r="X431" s="184">
        <f t="shared" si="107"/>
        <v>0</v>
      </c>
      <c r="Y431" s="184">
        <f t="shared" si="108"/>
        <v>0</v>
      </c>
    </row>
    <row r="432" spans="22:25" ht="15">
      <c r="V432" s="144">
        <f t="shared" si="105"/>
        <v>426</v>
      </c>
      <c r="W432" s="184">
        <f t="shared" si="106"/>
        <v>0</v>
      </c>
      <c r="X432" s="184">
        <f t="shared" si="107"/>
        <v>0</v>
      </c>
      <c r="Y432" s="184">
        <f t="shared" si="108"/>
        <v>0</v>
      </c>
    </row>
    <row r="433" spans="22:25" ht="15">
      <c r="V433" s="144">
        <f t="shared" si="105"/>
        <v>427</v>
      </c>
      <c r="W433" s="184">
        <f t="shared" si="106"/>
        <v>0</v>
      </c>
      <c r="X433" s="184">
        <f t="shared" si="107"/>
        <v>0</v>
      </c>
      <c r="Y433" s="184">
        <f t="shared" si="108"/>
        <v>0</v>
      </c>
    </row>
    <row r="434" spans="22:25" ht="15">
      <c r="V434" s="144">
        <f t="shared" si="105"/>
        <v>428</v>
      </c>
      <c r="W434" s="184">
        <f t="shared" si="106"/>
        <v>0</v>
      </c>
      <c r="X434" s="184">
        <f t="shared" si="107"/>
        <v>0</v>
      </c>
      <c r="Y434" s="184">
        <f t="shared" si="108"/>
        <v>0</v>
      </c>
    </row>
    <row r="435" spans="22:25" ht="15">
      <c r="V435" s="144">
        <f t="shared" si="105"/>
        <v>429</v>
      </c>
      <c r="W435" s="184">
        <f t="shared" si="106"/>
        <v>0</v>
      </c>
      <c r="X435" s="184">
        <f t="shared" si="107"/>
        <v>0</v>
      </c>
      <c r="Y435" s="184">
        <f t="shared" si="108"/>
        <v>0</v>
      </c>
    </row>
    <row r="436" spans="22:25" ht="15">
      <c r="V436" s="144">
        <f t="shared" si="105"/>
        <v>430</v>
      </c>
      <c r="W436" s="184">
        <f t="shared" si="106"/>
        <v>0</v>
      </c>
      <c r="X436" s="184">
        <f t="shared" si="107"/>
        <v>0</v>
      </c>
      <c r="Y436" s="184">
        <f t="shared" si="108"/>
        <v>0</v>
      </c>
    </row>
    <row r="437" spans="22:25" ht="15">
      <c r="V437" s="144">
        <f t="shared" si="105"/>
        <v>431</v>
      </c>
      <c r="W437" s="184">
        <f t="shared" si="106"/>
        <v>0</v>
      </c>
      <c r="X437" s="184">
        <f t="shared" si="107"/>
        <v>0</v>
      </c>
      <c r="Y437" s="184">
        <f t="shared" si="108"/>
        <v>0</v>
      </c>
    </row>
    <row r="438" spans="22:25" ht="15">
      <c r="V438" s="144">
        <f t="shared" si="105"/>
        <v>432</v>
      </c>
      <c r="W438" s="184">
        <f t="shared" si="106"/>
        <v>0</v>
      </c>
      <c r="X438" s="184">
        <f t="shared" si="107"/>
        <v>0</v>
      </c>
      <c r="Y438" s="184">
        <f t="shared" si="108"/>
        <v>0</v>
      </c>
    </row>
    <row r="439" spans="22:25" ht="15">
      <c r="V439" s="144">
        <f t="shared" si="105"/>
        <v>433</v>
      </c>
      <c r="W439" s="184">
        <f t="shared" si="106"/>
        <v>0</v>
      </c>
      <c r="X439" s="184">
        <f t="shared" si="107"/>
        <v>0</v>
      </c>
      <c r="Y439" s="184">
        <f t="shared" si="108"/>
        <v>0</v>
      </c>
    </row>
    <row r="440" spans="22:25" ht="15">
      <c r="V440" s="144">
        <f t="shared" si="105"/>
        <v>434</v>
      </c>
      <c r="W440" s="184">
        <f t="shared" si="106"/>
        <v>0</v>
      </c>
      <c r="X440" s="184">
        <f t="shared" si="107"/>
        <v>0</v>
      </c>
      <c r="Y440" s="184">
        <f t="shared" si="108"/>
        <v>0</v>
      </c>
    </row>
    <row r="441" spans="22:25" ht="15">
      <c r="V441" s="144">
        <f t="shared" si="105"/>
        <v>435</v>
      </c>
      <c r="W441" s="184">
        <f t="shared" si="106"/>
        <v>0</v>
      </c>
      <c r="X441" s="184">
        <f t="shared" si="107"/>
        <v>0</v>
      </c>
      <c r="Y441" s="184">
        <f t="shared" si="108"/>
        <v>0</v>
      </c>
    </row>
    <row r="442" spans="22:25" ht="15">
      <c r="V442" s="144">
        <f t="shared" si="105"/>
        <v>436</v>
      </c>
      <c r="W442" s="184">
        <f t="shared" si="106"/>
        <v>0</v>
      </c>
      <c r="X442" s="184">
        <f t="shared" si="107"/>
        <v>0</v>
      </c>
      <c r="Y442" s="184">
        <f t="shared" si="108"/>
        <v>0</v>
      </c>
    </row>
    <row r="443" spans="22:25" ht="15">
      <c r="V443" s="144">
        <f t="shared" si="105"/>
        <v>437</v>
      </c>
      <c r="W443" s="184">
        <f t="shared" si="106"/>
        <v>0</v>
      </c>
      <c r="X443" s="184">
        <f t="shared" si="107"/>
        <v>0</v>
      </c>
      <c r="Y443" s="184">
        <f t="shared" si="108"/>
        <v>0</v>
      </c>
    </row>
    <row r="444" spans="22:25" ht="15">
      <c r="V444" s="144">
        <f t="shared" si="105"/>
        <v>438</v>
      </c>
      <c r="W444" s="184">
        <f t="shared" si="106"/>
        <v>0</v>
      </c>
      <c r="X444" s="184">
        <f t="shared" si="107"/>
        <v>0</v>
      </c>
      <c r="Y444" s="184">
        <f t="shared" si="108"/>
        <v>0</v>
      </c>
    </row>
    <row r="445" spans="22:25" ht="15">
      <c r="V445" s="144">
        <f t="shared" si="105"/>
        <v>439</v>
      </c>
      <c r="W445" s="184">
        <f t="shared" si="106"/>
        <v>0</v>
      </c>
      <c r="X445" s="184">
        <f t="shared" si="107"/>
        <v>0</v>
      </c>
      <c r="Y445" s="184">
        <f t="shared" si="108"/>
        <v>0</v>
      </c>
    </row>
    <row r="446" spans="22:25" ht="15">
      <c r="V446" s="144">
        <f t="shared" si="105"/>
        <v>440</v>
      </c>
      <c r="W446" s="184">
        <f t="shared" si="106"/>
        <v>0</v>
      </c>
      <c r="X446" s="184">
        <f t="shared" si="107"/>
        <v>0</v>
      </c>
      <c r="Y446" s="184">
        <f t="shared" si="108"/>
        <v>0</v>
      </c>
    </row>
    <row r="447" spans="22:25" ht="15">
      <c r="V447" s="144">
        <f t="shared" si="105"/>
        <v>441</v>
      </c>
      <c r="W447" s="184">
        <f t="shared" si="106"/>
        <v>0</v>
      </c>
      <c r="X447" s="184">
        <f t="shared" si="107"/>
        <v>0</v>
      </c>
      <c r="Y447" s="184">
        <f t="shared" si="108"/>
        <v>0</v>
      </c>
    </row>
    <row r="448" spans="22:25" ht="15">
      <c r="V448" s="144">
        <f t="shared" si="105"/>
        <v>442</v>
      </c>
      <c r="W448" s="184">
        <f t="shared" si="106"/>
        <v>0</v>
      </c>
      <c r="X448" s="184">
        <f t="shared" si="107"/>
        <v>0</v>
      </c>
      <c r="Y448" s="184">
        <f t="shared" si="108"/>
        <v>0</v>
      </c>
    </row>
    <row r="449" spans="22:25" ht="15">
      <c r="V449" s="144">
        <f t="shared" si="105"/>
        <v>443</v>
      </c>
      <c r="W449" s="184">
        <f t="shared" si="106"/>
        <v>0</v>
      </c>
      <c r="X449" s="184">
        <f t="shared" si="107"/>
        <v>0</v>
      </c>
      <c r="Y449" s="184">
        <f t="shared" si="108"/>
        <v>0</v>
      </c>
    </row>
    <row r="450" spans="22:25" ht="15">
      <c r="V450" s="144">
        <f t="shared" si="105"/>
        <v>444</v>
      </c>
      <c r="W450" s="184">
        <f t="shared" si="106"/>
        <v>0</v>
      </c>
      <c r="X450" s="184">
        <f t="shared" si="107"/>
        <v>0</v>
      </c>
      <c r="Y450" s="184">
        <f t="shared" si="108"/>
        <v>0</v>
      </c>
    </row>
    <row r="451" spans="22:25" ht="15">
      <c r="V451" s="144">
        <f t="shared" si="105"/>
        <v>445</v>
      </c>
      <c r="W451" s="184">
        <f t="shared" si="106"/>
        <v>0</v>
      </c>
      <c r="X451" s="184">
        <f t="shared" si="107"/>
        <v>0</v>
      </c>
      <c r="Y451" s="184">
        <f t="shared" si="108"/>
        <v>0</v>
      </c>
    </row>
    <row r="452" spans="22:25" ht="15">
      <c r="V452" s="144">
        <f t="shared" si="105"/>
        <v>446</v>
      </c>
      <c r="W452" s="184">
        <f t="shared" si="106"/>
        <v>0</v>
      </c>
      <c r="X452" s="184">
        <f t="shared" si="107"/>
        <v>0</v>
      </c>
      <c r="Y452" s="184">
        <f t="shared" si="108"/>
        <v>0</v>
      </c>
    </row>
    <row r="453" spans="22:25" ht="15">
      <c r="V453" s="144">
        <f t="shared" si="105"/>
        <v>447</v>
      </c>
      <c r="W453" s="184">
        <f t="shared" si="106"/>
        <v>0</v>
      </c>
      <c r="X453" s="184">
        <f t="shared" si="107"/>
        <v>0</v>
      </c>
      <c r="Y453" s="184">
        <f t="shared" si="108"/>
        <v>0</v>
      </c>
    </row>
    <row r="454" spans="22:25" ht="15">
      <c r="V454" s="144">
        <f t="shared" si="105"/>
        <v>448</v>
      </c>
      <c r="W454" s="184">
        <f t="shared" si="106"/>
        <v>0</v>
      </c>
      <c r="X454" s="184">
        <f t="shared" si="107"/>
        <v>0</v>
      </c>
      <c r="Y454" s="184">
        <f t="shared" si="108"/>
        <v>0</v>
      </c>
    </row>
    <row r="455" spans="22:25" ht="15">
      <c r="V455" s="144">
        <f t="shared" si="105"/>
        <v>449</v>
      </c>
      <c r="W455" s="184">
        <f t="shared" si="106"/>
        <v>0</v>
      </c>
      <c r="X455" s="184">
        <f t="shared" si="107"/>
        <v>0</v>
      </c>
      <c r="Y455" s="184">
        <f t="shared" si="108"/>
        <v>0</v>
      </c>
    </row>
    <row r="456" spans="22:25" ht="15">
      <c r="V456" s="144">
        <f t="shared" si="105"/>
        <v>450</v>
      </c>
      <c r="W456" s="184">
        <f t="shared" si="106"/>
        <v>0</v>
      </c>
      <c r="X456" s="184">
        <f t="shared" si="107"/>
        <v>0</v>
      </c>
      <c r="Y456" s="184">
        <f t="shared" si="108"/>
        <v>0</v>
      </c>
    </row>
    <row r="457" spans="22:25" ht="15">
      <c r="V457" s="144">
        <f aca="true" t="shared" si="109" ref="V457:V520">1+V456</f>
        <v>451</v>
      </c>
      <c r="W457" s="184">
        <f aca="true" t="shared" si="110" ref="W457:W520">IF($V457&lt;12*$Q$17,W456+$Q$16*POWER(1+$Q$15/12,-($V457-1)),0)</f>
        <v>0</v>
      </c>
      <c r="X457" s="184">
        <f aca="true" t="shared" si="111" ref="X457:X520">IF($V457&lt;12*$Q$18,X456+$Q$16*POWER(1+$Q$15/12,-($V457-1)),0)</f>
        <v>0</v>
      </c>
      <c r="Y457" s="184">
        <f aca="true" t="shared" si="112" ref="Y457:Y520">IF(AND($V457&lt;12*$Q$17,$V457&lt;12*$Q$18),Y456+($Q$16/2)*POWER(1+$Q$15/12,-($V457-1)),0)</f>
        <v>0</v>
      </c>
    </row>
    <row r="458" spans="22:25" ht="15">
      <c r="V458" s="144">
        <f t="shared" si="109"/>
        <v>452</v>
      </c>
      <c r="W458" s="184">
        <f t="shared" si="110"/>
        <v>0</v>
      </c>
      <c r="X458" s="184">
        <f t="shared" si="111"/>
        <v>0</v>
      </c>
      <c r="Y458" s="184">
        <f t="shared" si="112"/>
        <v>0</v>
      </c>
    </row>
    <row r="459" spans="22:25" ht="15">
      <c r="V459" s="144">
        <f t="shared" si="109"/>
        <v>453</v>
      </c>
      <c r="W459" s="184">
        <f t="shared" si="110"/>
        <v>0</v>
      </c>
      <c r="X459" s="184">
        <f t="shared" si="111"/>
        <v>0</v>
      </c>
      <c r="Y459" s="184">
        <f t="shared" si="112"/>
        <v>0</v>
      </c>
    </row>
    <row r="460" spans="22:25" ht="15">
      <c r="V460" s="144">
        <f t="shared" si="109"/>
        <v>454</v>
      </c>
      <c r="W460" s="184">
        <f t="shared" si="110"/>
        <v>0</v>
      </c>
      <c r="X460" s="184">
        <f t="shared" si="111"/>
        <v>0</v>
      </c>
      <c r="Y460" s="184">
        <f t="shared" si="112"/>
        <v>0</v>
      </c>
    </row>
    <row r="461" spans="22:25" ht="15">
      <c r="V461" s="144">
        <f t="shared" si="109"/>
        <v>455</v>
      </c>
      <c r="W461" s="184">
        <f t="shared" si="110"/>
        <v>0</v>
      </c>
      <c r="X461" s="184">
        <f t="shared" si="111"/>
        <v>0</v>
      </c>
      <c r="Y461" s="184">
        <f t="shared" si="112"/>
        <v>0</v>
      </c>
    </row>
    <row r="462" spans="22:25" ht="15">
      <c r="V462" s="144">
        <f t="shared" si="109"/>
        <v>456</v>
      </c>
      <c r="W462" s="184">
        <f t="shared" si="110"/>
        <v>0</v>
      </c>
      <c r="X462" s="184">
        <f t="shared" si="111"/>
        <v>0</v>
      </c>
      <c r="Y462" s="184">
        <f t="shared" si="112"/>
        <v>0</v>
      </c>
    </row>
    <row r="463" spans="22:25" ht="15">
      <c r="V463" s="144">
        <f t="shared" si="109"/>
        <v>457</v>
      </c>
      <c r="W463" s="184">
        <f t="shared" si="110"/>
        <v>0</v>
      </c>
      <c r="X463" s="184">
        <f t="shared" si="111"/>
        <v>0</v>
      </c>
      <c r="Y463" s="184">
        <f t="shared" si="112"/>
        <v>0</v>
      </c>
    </row>
    <row r="464" spans="22:25" ht="15">
      <c r="V464" s="144">
        <f t="shared" si="109"/>
        <v>458</v>
      </c>
      <c r="W464" s="184">
        <f t="shared" si="110"/>
        <v>0</v>
      </c>
      <c r="X464" s="184">
        <f t="shared" si="111"/>
        <v>0</v>
      </c>
      <c r="Y464" s="184">
        <f t="shared" si="112"/>
        <v>0</v>
      </c>
    </row>
    <row r="465" spans="22:25" ht="15">
      <c r="V465" s="144">
        <f t="shared" si="109"/>
        <v>459</v>
      </c>
      <c r="W465" s="184">
        <f t="shared" si="110"/>
        <v>0</v>
      </c>
      <c r="X465" s="184">
        <f t="shared" si="111"/>
        <v>0</v>
      </c>
      <c r="Y465" s="184">
        <f t="shared" si="112"/>
        <v>0</v>
      </c>
    </row>
    <row r="466" spans="22:25" ht="15">
      <c r="V466" s="144">
        <f t="shared" si="109"/>
        <v>460</v>
      </c>
      <c r="W466" s="184">
        <f t="shared" si="110"/>
        <v>0</v>
      </c>
      <c r="X466" s="184">
        <f t="shared" si="111"/>
        <v>0</v>
      </c>
      <c r="Y466" s="184">
        <f t="shared" si="112"/>
        <v>0</v>
      </c>
    </row>
    <row r="467" spans="22:25" ht="15">
      <c r="V467" s="144">
        <f t="shared" si="109"/>
        <v>461</v>
      </c>
      <c r="W467" s="184">
        <f t="shared" si="110"/>
        <v>0</v>
      </c>
      <c r="X467" s="184">
        <f t="shared" si="111"/>
        <v>0</v>
      </c>
      <c r="Y467" s="184">
        <f t="shared" si="112"/>
        <v>0</v>
      </c>
    </row>
    <row r="468" spans="22:25" ht="15">
      <c r="V468" s="144">
        <f t="shared" si="109"/>
        <v>462</v>
      </c>
      <c r="W468" s="184">
        <f t="shared" si="110"/>
        <v>0</v>
      </c>
      <c r="X468" s="184">
        <f t="shared" si="111"/>
        <v>0</v>
      </c>
      <c r="Y468" s="184">
        <f t="shared" si="112"/>
        <v>0</v>
      </c>
    </row>
    <row r="469" spans="22:25" ht="15">
      <c r="V469" s="144">
        <f t="shared" si="109"/>
        <v>463</v>
      </c>
      <c r="W469" s="184">
        <f t="shared" si="110"/>
        <v>0</v>
      </c>
      <c r="X469" s="184">
        <f t="shared" si="111"/>
        <v>0</v>
      </c>
      <c r="Y469" s="184">
        <f t="shared" si="112"/>
        <v>0</v>
      </c>
    </row>
    <row r="470" spans="22:25" ht="15">
      <c r="V470" s="144">
        <f t="shared" si="109"/>
        <v>464</v>
      </c>
      <c r="W470" s="184">
        <f t="shared" si="110"/>
        <v>0</v>
      </c>
      <c r="X470" s="184">
        <f t="shared" si="111"/>
        <v>0</v>
      </c>
      <c r="Y470" s="184">
        <f t="shared" si="112"/>
        <v>0</v>
      </c>
    </row>
    <row r="471" spans="22:25" ht="15">
      <c r="V471" s="144">
        <f t="shared" si="109"/>
        <v>465</v>
      </c>
      <c r="W471" s="184">
        <f t="shared" si="110"/>
        <v>0</v>
      </c>
      <c r="X471" s="184">
        <f t="shared" si="111"/>
        <v>0</v>
      </c>
      <c r="Y471" s="184">
        <f t="shared" si="112"/>
        <v>0</v>
      </c>
    </row>
    <row r="472" spans="22:25" ht="15">
      <c r="V472" s="144">
        <f t="shared" si="109"/>
        <v>466</v>
      </c>
      <c r="W472" s="184">
        <f t="shared" si="110"/>
        <v>0</v>
      </c>
      <c r="X472" s="184">
        <f t="shared" si="111"/>
        <v>0</v>
      </c>
      <c r="Y472" s="184">
        <f t="shared" si="112"/>
        <v>0</v>
      </c>
    </row>
    <row r="473" spans="22:25" ht="15">
      <c r="V473" s="144">
        <f t="shared" si="109"/>
        <v>467</v>
      </c>
      <c r="W473" s="184">
        <f t="shared" si="110"/>
        <v>0</v>
      </c>
      <c r="X473" s="184">
        <f t="shared" si="111"/>
        <v>0</v>
      </c>
      <c r="Y473" s="184">
        <f t="shared" si="112"/>
        <v>0</v>
      </c>
    </row>
    <row r="474" spans="22:25" ht="15">
      <c r="V474" s="144">
        <f t="shared" si="109"/>
        <v>468</v>
      </c>
      <c r="W474" s="184">
        <f t="shared" si="110"/>
        <v>0</v>
      </c>
      <c r="X474" s="184">
        <f t="shared" si="111"/>
        <v>0</v>
      </c>
      <c r="Y474" s="184">
        <f t="shared" si="112"/>
        <v>0</v>
      </c>
    </row>
    <row r="475" spans="22:25" ht="15">
      <c r="V475" s="144">
        <f t="shared" si="109"/>
        <v>469</v>
      </c>
      <c r="W475" s="184">
        <f t="shared" si="110"/>
        <v>0</v>
      </c>
      <c r="X475" s="184">
        <f t="shared" si="111"/>
        <v>0</v>
      </c>
      <c r="Y475" s="184">
        <f t="shared" si="112"/>
        <v>0</v>
      </c>
    </row>
    <row r="476" spans="22:25" ht="15">
      <c r="V476" s="144">
        <f t="shared" si="109"/>
        <v>470</v>
      </c>
      <c r="W476" s="184">
        <f t="shared" si="110"/>
        <v>0</v>
      </c>
      <c r="X476" s="184">
        <f t="shared" si="111"/>
        <v>0</v>
      </c>
      <c r="Y476" s="184">
        <f t="shared" si="112"/>
        <v>0</v>
      </c>
    </row>
    <row r="477" spans="22:25" ht="15">
      <c r="V477" s="144">
        <f t="shared" si="109"/>
        <v>471</v>
      </c>
      <c r="W477" s="184">
        <f t="shared" si="110"/>
        <v>0</v>
      </c>
      <c r="X477" s="184">
        <f t="shared" si="111"/>
        <v>0</v>
      </c>
      <c r="Y477" s="184">
        <f t="shared" si="112"/>
        <v>0</v>
      </c>
    </row>
    <row r="478" spans="22:25" ht="15">
      <c r="V478" s="144">
        <f t="shared" si="109"/>
        <v>472</v>
      </c>
      <c r="W478" s="184">
        <f t="shared" si="110"/>
        <v>0</v>
      </c>
      <c r="X478" s="184">
        <f t="shared" si="111"/>
        <v>0</v>
      </c>
      <c r="Y478" s="184">
        <f t="shared" si="112"/>
        <v>0</v>
      </c>
    </row>
    <row r="479" spans="22:25" ht="15">
      <c r="V479" s="144">
        <f t="shared" si="109"/>
        <v>473</v>
      </c>
      <c r="W479" s="184">
        <f t="shared" si="110"/>
        <v>0</v>
      </c>
      <c r="X479" s="184">
        <f t="shared" si="111"/>
        <v>0</v>
      </c>
      <c r="Y479" s="184">
        <f t="shared" si="112"/>
        <v>0</v>
      </c>
    </row>
    <row r="480" spans="22:25" ht="15">
      <c r="V480" s="144">
        <f t="shared" si="109"/>
        <v>474</v>
      </c>
      <c r="W480" s="184">
        <f t="shared" si="110"/>
        <v>0</v>
      </c>
      <c r="X480" s="184">
        <f t="shared" si="111"/>
        <v>0</v>
      </c>
      <c r="Y480" s="184">
        <f t="shared" si="112"/>
        <v>0</v>
      </c>
    </row>
    <row r="481" spans="22:25" ht="15">
      <c r="V481" s="144">
        <f t="shared" si="109"/>
        <v>475</v>
      </c>
      <c r="W481" s="184">
        <f t="shared" si="110"/>
        <v>0</v>
      </c>
      <c r="X481" s="184">
        <f t="shared" si="111"/>
        <v>0</v>
      </c>
      <c r="Y481" s="184">
        <f t="shared" si="112"/>
        <v>0</v>
      </c>
    </row>
    <row r="482" spans="22:25" ht="15">
      <c r="V482" s="144">
        <f t="shared" si="109"/>
        <v>476</v>
      </c>
      <c r="W482" s="184">
        <f t="shared" si="110"/>
        <v>0</v>
      </c>
      <c r="X482" s="184">
        <f t="shared" si="111"/>
        <v>0</v>
      </c>
      <c r="Y482" s="184">
        <f t="shared" si="112"/>
        <v>0</v>
      </c>
    </row>
    <row r="483" spans="22:25" ht="15">
      <c r="V483" s="144">
        <f t="shared" si="109"/>
        <v>477</v>
      </c>
      <c r="W483" s="184">
        <f t="shared" si="110"/>
        <v>0</v>
      </c>
      <c r="X483" s="184">
        <f t="shared" si="111"/>
        <v>0</v>
      </c>
      <c r="Y483" s="184">
        <f t="shared" si="112"/>
        <v>0</v>
      </c>
    </row>
    <row r="484" spans="22:25" ht="15">
      <c r="V484" s="144">
        <f t="shared" si="109"/>
        <v>478</v>
      </c>
      <c r="W484" s="184">
        <f t="shared" si="110"/>
        <v>0</v>
      </c>
      <c r="X484" s="184">
        <f t="shared" si="111"/>
        <v>0</v>
      </c>
      <c r="Y484" s="184">
        <f t="shared" si="112"/>
        <v>0</v>
      </c>
    </row>
    <row r="485" spans="22:25" ht="15">
      <c r="V485" s="144">
        <f t="shared" si="109"/>
        <v>479</v>
      </c>
      <c r="W485" s="184">
        <f t="shared" si="110"/>
        <v>0</v>
      </c>
      <c r="X485" s="184">
        <f t="shared" si="111"/>
        <v>0</v>
      </c>
      <c r="Y485" s="184">
        <f t="shared" si="112"/>
        <v>0</v>
      </c>
    </row>
    <row r="486" spans="22:25" ht="15">
      <c r="V486" s="144">
        <f t="shared" si="109"/>
        <v>480</v>
      </c>
      <c r="W486" s="184">
        <f t="shared" si="110"/>
        <v>0</v>
      </c>
      <c r="X486" s="184">
        <f t="shared" si="111"/>
        <v>0</v>
      </c>
      <c r="Y486" s="184">
        <f t="shared" si="112"/>
        <v>0</v>
      </c>
    </row>
    <row r="487" spans="22:25" ht="15">
      <c r="V487" s="144">
        <f t="shared" si="109"/>
        <v>481</v>
      </c>
      <c r="W487" s="184">
        <f t="shared" si="110"/>
        <v>0</v>
      </c>
      <c r="X487" s="184">
        <f t="shared" si="111"/>
        <v>0</v>
      </c>
      <c r="Y487" s="184">
        <f t="shared" si="112"/>
        <v>0</v>
      </c>
    </row>
    <row r="488" spans="22:25" ht="15">
      <c r="V488" s="144">
        <f t="shared" si="109"/>
        <v>482</v>
      </c>
      <c r="W488" s="184">
        <f t="shared" si="110"/>
        <v>0</v>
      </c>
      <c r="X488" s="184">
        <f t="shared" si="111"/>
        <v>0</v>
      </c>
      <c r="Y488" s="184">
        <f t="shared" si="112"/>
        <v>0</v>
      </c>
    </row>
    <row r="489" spans="22:25" ht="15">
      <c r="V489" s="144">
        <f t="shared" si="109"/>
        <v>483</v>
      </c>
      <c r="W489" s="184">
        <f t="shared" si="110"/>
        <v>0</v>
      </c>
      <c r="X489" s="184">
        <f t="shared" si="111"/>
        <v>0</v>
      </c>
      <c r="Y489" s="184">
        <f t="shared" si="112"/>
        <v>0</v>
      </c>
    </row>
    <row r="490" spans="22:25" ht="15">
      <c r="V490" s="144">
        <f t="shared" si="109"/>
        <v>484</v>
      </c>
      <c r="W490" s="184">
        <f t="shared" si="110"/>
        <v>0</v>
      </c>
      <c r="X490" s="184">
        <f t="shared" si="111"/>
        <v>0</v>
      </c>
      <c r="Y490" s="184">
        <f t="shared" si="112"/>
        <v>0</v>
      </c>
    </row>
    <row r="491" spans="22:25" ht="15">
      <c r="V491" s="144">
        <f t="shared" si="109"/>
        <v>485</v>
      </c>
      <c r="W491" s="184">
        <f t="shared" si="110"/>
        <v>0</v>
      </c>
      <c r="X491" s="184">
        <f t="shared" si="111"/>
        <v>0</v>
      </c>
      <c r="Y491" s="184">
        <f t="shared" si="112"/>
        <v>0</v>
      </c>
    </row>
    <row r="492" spans="22:25" ht="15">
      <c r="V492" s="144">
        <f t="shared" si="109"/>
        <v>486</v>
      </c>
      <c r="W492" s="184">
        <f t="shared" si="110"/>
        <v>0</v>
      </c>
      <c r="X492" s="184">
        <f t="shared" si="111"/>
        <v>0</v>
      </c>
      <c r="Y492" s="184">
        <f t="shared" si="112"/>
        <v>0</v>
      </c>
    </row>
    <row r="493" spans="22:25" ht="15">
      <c r="V493" s="144">
        <f t="shared" si="109"/>
        <v>487</v>
      </c>
      <c r="W493" s="184">
        <f t="shared" si="110"/>
        <v>0</v>
      </c>
      <c r="X493" s="184">
        <f t="shared" si="111"/>
        <v>0</v>
      </c>
      <c r="Y493" s="184">
        <f t="shared" si="112"/>
        <v>0</v>
      </c>
    </row>
    <row r="494" spans="22:25" ht="15">
      <c r="V494" s="144">
        <f t="shared" si="109"/>
        <v>488</v>
      </c>
      <c r="W494" s="184">
        <f t="shared" si="110"/>
        <v>0</v>
      </c>
      <c r="X494" s="184">
        <f t="shared" si="111"/>
        <v>0</v>
      </c>
      <c r="Y494" s="184">
        <f t="shared" si="112"/>
        <v>0</v>
      </c>
    </row>
    <row r="495" spans="22:25" ht="15">
      <c r="V495" s="144">
        <f t="shared" si="109"/>
        <v>489</v>
      </c>
      <c r="W495" s="184">
        <f t="shared" si="110"/>
        <v>0</v>
      </c>
      <c r="X495" s="184">
        <f t="shared" si="111"/>
        <v>0</v>
      </c>
      <c r="Y495" s="184">
        <f t="shared" si="112"/>
        <v>0</v>
      </c>
    </row>
    <row r="496" spans="22:25" ht="15">
      <c r="V496" s="144">
        <f t="shared" si="109"/>
        <v>490</v>
      </c>
      <c r="W496" s="184">
        <f t="shared" si="110"/>
        <v>0</v>
      </c>
      <c r="X496" s="184">
        <f t="shared" si="111"/>
        <v>0</v>
      </c>
      <c r="Y496" s="184">
        <f t="shared" si="112"/>
        <v>0</v>
      </c>
    </row>
    <row r="497" spans="22:25" ht="15">
      <c r="V497" s="144">
        <f t="shared" si="109"/>
        <v>491</v>
      </c>
      <c r="W497" s="184">
        <f t="shared" si="110"/>
        <v>0</v>
      </c>
      <c r="X497" s="184">
        <f t="shared" si="111"/>
        <v>0</v>
      </c>
      <c r="Y497" s="184">
        <f t="shared" si="112"/>
        <v>0</v>
      </c>
    </row>
    <row r="498" spans="22:25" ht="15">
      <c r="V498" s="144">
        <f t="shared" si="109"/>
        <v>492</v>
      </c>
      <c r="W498" s="184">
        <f t="shared" si="110"/>
        <v>0</v>
      </c>
      <c r="X498" s="184">
        <f t="shared" si="111"/>
        <v>0</v>
      </c>
      <c r="Y498" s="184">
        <f t="shared" si="112"/>
        <v>0</v>
      </c>
    </row>
    <row r="499" spans="22:25" ht="15">
      <c r="V499" s="144">
        <f t="shared" si="109"/>
        <v>493</v>
      </c>
      <c r="W499" s="184">
        <f t="shared" si="110"/>
        <v>0</v>
      </c>
      <c r="X499" s="184">
        <f t="shared" si="111"/>
        <v>0</v>
      </c>
      <c r="Y499" s="184">
        <f t="shared" si="112"/>
        <v>0</v>
      </c>
    </row>
    <row r="500" spans="22:25" ht="15">
      <c r="V500" s="144">
        <f t="shared" si="109"/>
        <v>494</v>
      </c>
      <c r="W500" s="184">
        <f t="shared" si="110"/>
        <v>0</v>
      </c>
      <c r="X500" s="184">
        <f t="shared" si="111"/>
        <v>0</v>
      </c>
      <c r="Y500" s="184">
        <f t="shared" si="112"/>
        <v>0</v>
      </c>
    </row>
    <row r="501" spans="22:25" ht="15">
      <c r="V501" s="144">
        <f t="shared" si="109"/>
        <v>495</v>
      </c>
      <c r="W501" s="184">
        <f t="shared" si="110"/>
        <v>0</v>
      </c>
      <c r="X501" s="184">
        <f t="shared" si="111"/>
        <v>0</v>
      </c>
      <c r="Y501" s="184">
        <f t="shared" si="112"/>
        <v>0</v>
      </c>
    </row>
    <row r="502" spans="22:25" ht="15">
      <c r="V502" s="144">
        <f t="shared" si="109"/>
        <v>496</v>
      </c>
      <c r="W502" s="184">
        <f t="shared" si="110"/>
        <v>0</v>
      </c>
      <c r="X502" s="184">
        <f t="shared" si="111"/>
        <v>0</v>
      </c>
      <c r="Y502" s="184">
        <f t="shared" si="112"/>
        <v>0</v>
      </c>
    </row>
    <row r="503" spans="22:25" ht="15">
      <c r="V503" s="144">
        <f t="shared" si="109"/>
        <v>497</v>
      </c>
      <c r="W503" s="184">
        <f t="shared" si="110"/>
        <v>0</v>
      </c>
      <c r="X503" s="184">
        <f t="shared" si="111"/>
        <v>0</v>
      </c>
      <c r="Y503" s="184">
        <f t="shared" si="112"/>
        <v>0</v>
      </c>
    </row>
    <row r="504" spans="22:25" ht="15">
      <c r="V504" s="144">
        <f t="shared" si="109"/>
        <v>498</v>
      </c>
      <c r="W504" s="184">
        <f t="shared" si="110"/>
        <v>0</v>
      </c>
      <c r="X504" s="184">
        <f t="shared" si="111"/>
        <v>0</v>
      </c>
      <c r="Y504" s="184">
        <f t="shared" si="112"/>
        <v>0</v>
      </c>
    </row>
    <row r="505" spans="22:25" ht="15">
      <c r="V505" s="144">
        <f t="shared" si="109"/>
        <v>499</v>
      </c>
      <c r="W505" s="184">
        <f t="shared" si="110"/>
        <v>0</v>
      </c>
      <c r="X505" s="184">
        <f t="shared" si="111"/>
        <v>0</v>
      </c>
      <c r="Y505" s="184">
        <f t="shared" si="112"/>
        <v>0</v>
      </c>
    </row>
    <row r="506" spans="22:25" ht="15">
      <c r="V506" s="144">
        <f t="shared" si="109"/>
        <v>500</v>
      </c>
      <c r="W506" s="184">
        <f t="shared" si="110"/>
        <v>0</v>
      </c>
      <c r="X506" s="184">
        <f t="shared" si="111"/>
        <v>0</v>
      </c>
      <c r="Y506" s="184">
        <f t="shared" si="112"/>
        <v>0</v>
      </c>
    </row>
    <row r="507" spans="22:25" ht="15">
      <c r="V507" s="144">
        <f t="shared" si="109"/>
        <v>501</v>
      </c>
      <c r="W507" s="184">
        <f t="shared" si="110"/>
        <v>0</v>
      </c>
      <c r="X507" s="184">
        <f t="shared" si="111"/>
        <v>0</v>
      </c>
      <c r="Y507" s="184">
        <f t="shared" si="112"/>
        <v>0</v>
      </c>
    </row>
    <row r="508" spans="22:25" ht="15">
      <c r="V508" s="144">
        <f t="shared" si="109"/>
        <v>502</v>
      </c>
      <c r="W508" s="184">
        <f t="shared" si="110"/>
        <v>0</v>
      </c>
      <c r="X508" s="184">
        <f t="shared" si="111"/>
        <v>0</v>
      </c>
      <c r="Y508" s="184">
        <f t="shared" si="112"/>
        <v>0</v>
      </c>
    </row>
    <row r="509" spans="22:25" ht="15">
      <c r="V509" s="144">
        <f t="shared" si="109"/>
        <v>503</v>
      </c>
      <c r="W509" s="184">
        <f t="shared" si="110"/>
        <v>0</v>
      </c>
      <c r="X509" s="184">
        <f t="shared" si="111"/>
        <v>0</v>
      </c>
      <c r="Y509" s="184">
        <f t="shared" si="112"/>
        <v>0</v>
      </c>
    </row>
    <row r="510" spans="22:25" ht="15">
      <c r="V510" s="144">
        <f t="shared" si="109"/>
        <v>504</v>
      </c>
      <c r="W510" s="184">
        <f t="shared" si="110"/>
        <v>0</v>
      </c>
      <c r="X510" s="184">
        <f t="shared" si="111"/>
        <v>0</v>
      </c>
      <c r="Y510" s="184">
        <f t="shared" si="112"/>
        <v>0</v>
      </c>
    </row>
    <row r="511" spans="22:25" ht="15">
      <c r="V511" s="144">
        <f t="shared" si="109"/>
        <v>505</v>
      </c>
      <c r="W511" s="184">
        <f t="shared" si="110"/>
        <v>0</v>
      </c>
      <c r="X511" s="184">
        <f t="shared" si="111"/>
        <v>0</v>
      </c>
      <c r="Y511" s="184">
        <f t="shared" si="112"/>
        <v>0</v>
      </c>
    </row>
    <row r="512" spans="22:25" ht="15">
      <c r="V512" s="144">
        <f t="shared" si="109"/>
        <v>506</v>
      </c>
      <c r="W512" s="184">
        <f t="shared" si="110"/>
        <v>0</v>
      </c>
      <c r="X512" s="184">
        <f t="shared" si="111"/>
        <v>0</v>
      </c>
      <c r="Y512" s="184">
        <f t="shared" si="112"/>
        <v>0</v>
      </c>
    </row>
    <row r="513" spans="22:25" ht="15">
      <c r="V513" s="144">
        <f t="shared" si="109"/>
        <v>507</v>
      </c>
      <c r="W513" s="184">
        <f t="shared" si="110"/>
        <v>0</v>
      </c>
      <c r="X513" s="184">
        <f t="shared" si="111"/>
        <v>0</v>
      </c>
      <c r="Y513" s="184">
        <f t="shared" si="112"/>
        <v>0</v>
      </c>
    </row>
    <row r="514" spans="22:25" ht="15">
      <c r="V514" s="144">
        <f t="shared" si="109"/>
        <v>508</v>
      </c>
      <c r="W514" s="184">
        <f t="shared" si="110"/>
        <v>0</v>
      </c>
      <c r="X514" s="184">
        <f t="shared" si="111"/>
        <v>0</v>
      </c>
      <c r="Y514" s="184">
        <f t="shared" si="112"/>
        <v>0</v>
      </c>
    </row>
    <row r="515" spans="22:25" ht="15">
      <c r="V515" s="144">
        <f t="shared" si="109"/>
        <v>509</v>
      </c>
      <c r="W515" s="184">
        <f t="shared" si="110"/>
        <v>0</v>
      </c>
      <c r="X515" s="184">
        <f t="shared" si="111"/>
        <v>0</v>
      </c>
      <c r="Y515" s="184">
        <f t="shared" si="112"/>
        <v>0</v>
      </c>
    </row>
    <row r="516" spans="22:25" ht="15">
      <c r="V516" s="144">
        <f t="shared" si="109"/>
        <v>510</v>
      </c>
      <c r="W516" s="184">
        <f t="shared" si="110"/>
        <v>0</v>
      </c>
      <c r="X516" s="184">
        <f t="shared" si="111"/>
        <v>0</v>
      </c>
      <c r="Y516" s="184">
        <f t="shared" si="112"/>
        <v>0</v>
      </c>
    </row>
    <row r="517" spans="22:25" ht="15">
      <c r="V517" s="144">
        <f t="shared" si="109"/>
        <v>511</v>
      </c>
      <c r="W517" s="184">
        <f t="shared" si="110"/>
        <v>0</v>
      </c>
      <c r="X517" s="184">
        <f t="shared" si="111"/>
        <v>0</v>
      </c>
      <c r="Y517" s="184">
        <f t="shared" si="112"/>
        <v>0</v>
      </c>
    </row>
    <row r="518" spans="22:25" ht="15">
      <c r="V518" s="144">
        <f t="shared" si="109"/>
        <v>512</v>
      </c>
      <c r="W518" s="184">
        <f t="shared" si="110"/>
        <v>0</v>
      </c>
      <c r="X518" s="184">
        <f t="shared" si="111"/>
        <v>0</v>
      </c>
      <c r="Y518" s="184">
        <f t="shared" si="112"/>
        <v>0</v>
      </c>
    </row>
    <row r="519" spans="22:25" ht="15">
      <c r="V519" s="144">
        <f t="shared" si="109"/>
        <v>513</v>
      </c>
      <c r="W519" s="184">
        <f t="shared" si="110"/>
        <v>0</v>
      </c>
      <c r="X519" s="184">
        <f t="shared" si="111"/>
        <v>0</v>
      </c>
      <c r="Y519" s="184">
        <f t="shared" si="112"/>
        <v>0</v>
      </c>
    </row>
    <row r="520" spans="22:25" ht="15">
      <c r="V520" s="144">
        <f t="shared" si="109"/>
        <v>514</v>
      </c>
      <c r="W520" s="184">
        <f t="shared" si="110"/>
        <v>0</v>
      </c>
      <c r="X520" s="184">
        <f t="shared" si="111"/>
        <v>0</v>
      </c>
      <c r="Y520" s="184">
        <f t="shared" si="112"/>
        <v>0</v>
      </c>
    </row>
    <row r="521" spans="22:25" ht="15">
      <c r="V521" s="144">
        <f aca="true" t="shared" si="113" ref="V521:V584">1+V520</f>
        <v>515</v>
      </c>
      <c r="W521" s="184">
        <f aca="true" t="shared" si="114" ref="W521:W584">IF($V521&lt;12*$Q$17,W520+$Q$16*POWER(1+$Q$15/12,-($V521-1)),0)</f>
        <v>0</v>
      </c>
      <c r="X521" s="184">
        <f aca="true" t="shared" si="115" ref="X521:X584">IF($V521&lt;12*$Q$18,X520+$Q$16*POWER(1+$Q$15/12,-($V521-1)),0)</f>
        <v>0</v>
      </c>
      <c r="Y521" s="184">
        <f aca="true" t="shared" si="116" ref="Y521:Y584">IF(AND($V521&lt;12*$Q$17,$V521&lt;12*$Q$18),Y520+($Q$16/2)*POWER(1+$Q$15/12,-($V521-1)),0)</f>
        <v>0</v>
      </c>
    </row>
    <row r="522" spans="22:25" ht="15">
      <c r="V522" s="144">
        <f t="shared" si="113"/>
        <v>516</v>
      </c>
      <c r="W522" s="184">
        <f t="shared" si="114"/>
        <v>0</v>
      </c>
      <c r="X522" s="184">
        <f t="shared" si="115"/>
        <v>0</v>
      </c>
      <c r="Y522" s="184">
        <f t="shared" si="116"/>
        <v>0</v>
      </c>
    </row>
    <row r="523" spans="22:25" ht="15">
      <c r="V523" s="144">
        <f t="shared" si="113"/>
        <v>517</v>
      </c>
      <c r="W523" s="184">
        <f t="shared" si="114"/>
        <v>0</v>
      </c>
      <c r="X523" s="184">
        <f t="shared" si="115"/>
        <v>0</v>
      </c>
      <c r="Y523" s="184">
        <f t="shared" si="116"/>
        <v>0</v>
      </c>
    </row>
    <row r="524" spans="22:25" ht="15">
      <c r="V524" s="144">
        <f t="shared" si="113"/>
        <v>518</v>
      </c>
      <c r="W524" s="184">
        <f t="shared" si="114"/>
        <v>0</v>
      </c>
      <c r="X524" s="184">
        <f t="shared" si="115"/>
        <v>0</v>
      </c>
      <c r="Y524" s="184">
        <f t="shared" si="116"/>
        <v>0</v>
      </c>
    </row>
    <row r="525" spans="22:25" ht="15">
      <c r="V525" s="144">
        <f t="shared" si="113"/>
        <v>519</v>
      </c>
      <c r="W525" s="184">
        <f t="shared" si="114"/>
        <v>0</v>
      </c>
      <c r="X525" s="184">
        <f t="shared" si="115"/>
        <v>0</v>
      </c>
      <c r="Y525" s="184">
        <f t="shared" si="116"/>
        <v>0</v>
      </c>
    </row>
    <row r="526" spans="22:25" ht="15">
      <c r="V526" s="144">
        <f t="shared" si="113"/>
        <v>520</v>
      </c>
      <c r="W526" s="184">
        <f t="shared" si="114"/>
        <v>0</v>
      </c>
      <c r="X526" s="184">
        <f t="shared" si="115"/>
        <v>0</v>
      </c>
      <c r="Y526" s="184">
        <f t="shared" si="116"/>
        <v>0</v>
      </c>
    </row>
    <row r="527" spans="22:25" ht="15">
      <c r="V527" s="144">
        <f t="shared" si="113"/>
        <v>521</v>
      </c>
      <c r="W527" s="184">
        <f t="shared" si="114"/>
        <v>0</v>
      </c>
      <c r="X527" s="184">
        <f t="shared" si="115"/>
        <v>0</v>
      </c>
      <c r="Y527" s="184">
        <f t="shared" si="116"/>
        <v>0</v>
      </c>
    </row>
    <row r="528" spans="22:25" ht="15">
      <c r="V528" s="144">
        <f t="shared" si="113"/>
        <v>522</v>
      </c>
      <c r="W528" s="184">
        <f t="shared" si="114"/>
        <v>0</v>
      </c>
      <c r="X528" s="184">
        <f t="shared" si="115"/>
        <v>0</v>
      </c>
      <c r="Y528" s="184">
        <f t="shared" si="116"/>
        <v>0</v>
      </c>
    </row>
    <row r="529" spans="22:25" ht="15">
      <c r="V529" s="144">
        <f t="shared" si="113"/>
        <v>523</v>
      </c>
      <c r="W529" s="184">
        <f t="shared" si="114"/>
        <v>0</v>
      </c>
      <c r="X529" s="184">
        <f t="shared" si="115"/>
        <v>0</v>
      </c>
      <c r="Y529" s="184">
        <f t="shared" si="116"/>
        <v>0</v>
      </c>
    </row>
    <row r="530" spans="22:25" ht="15">
      <c r="V530" s="144">
        <f t="shared" si="113"/>
        <v>524</v>
      </c>
      <c r="W530" s="184">
        <f t="shared" si="114"/>
        <v>0</v>
      </c>
      <c r="X530" s="184">
        <f t="shared" si="115"/>
        <v>0</v>
      </c>
      <c r="Y530" s="184">
        <f t="shared" si="116"/>
        <v>0</v>
      </c>
    </row>
    <row r="531" spans="22:25" ht="15">
      <c r="V531" s="144">
        <f t="shared" si="113"/>
        <v>525</v>
      </c>
      <c r="W531" s="184">
        <f t="shared" si="114"/>
        <v>0</v>
      </c>
      <c r="X531" s="184">
        <f t="shared" si="115"/>
        <v>0</v>
      </c>
      <c r="Y531" s="184">
        <f t="shared" si="116"/>
        <v>0</v>
      </c>
    </row>
    <row r="532" spans="22:25" ht="15">
      <c r="V532" s="144">
        <f t="shared" si="113"/>
        <v>526</v>
      </c>
      <c r="W532" s="184">
        <f t="shared" si="114"/>
        <v>0</v>
      </c>
      <c r="X532" s="184">
        <f t="shared" si="115"/>
        <v>0</v>
      </c>
      <c r="Y532" s="184">
        <f t="shared" si="116"/>
        <v>0</v>
      </c>
    </row>
    <row r="533" spans="22:25" ht="15">
      <c r="V533" s="144">
        <f t="shared" si="113"/>
        <v>527</v>
      </c>
      <c r="W533" s="184">
        <f t="shared" si="114"/>
        <v>0</v>
      </c>
      <c r="X533" s="184">
        <f t="shared" si="115"/>
        <v>0</v>
      </c>
      <c r="Y533" s="184">
        <f t="shared" si="116"/>
        <v>0</v>
      </c>
    </row>
    <row r="534" spans="22:25" ht="15">
      <c r="V534" s="144">
        <f t="shared" si="113"/>
        <v>528</v>
      </c>
      <c r="W534" s="184">
        <f t="shared" si="114"/>
        <v>0</v>
      </c>
      <c r="X534" s="184">
        <f t="shared" si="115"/>
        <v>0</v>
      </c>
      <c r="Y534" s="184">
        <f t="shared" si="116"/>
        <v>0</v>
      </c>
    </row>
    <row r="535" spans="22:25" ht="15">
      <c r="V535" s="144">
        <f t="shared" si="113"/>
        <v>529</v>
      </c>
      <c r="W535" s="184">
        <f t="shared" si="114"/>
        <v>0</v>
      </c>
      <c r="X535" s="184">
        <f t="shared" si="115"/>
        <v>0</v>
      </c>
      <c r="Y535" s="184">
        <f t="shared" si="116"/>
        <v>0</v>
      </c>
    </row>
    <row r="536" spans="22:25" ht="15">
      <c r="V536" s="144">
        <f t="shared" si="113"/>
        <v>530</v>
      </c>
      <c r="W536" s="184">
        <f t="shared" si="114"/>
        <v>0</v>
      </c>
      <c r="X536" s="184">
        <f t="shared" si="115"/>
        <v>0</v>
      </c>
      <c r="Y536" s="184">
        <f t="shared" si="116"/>
        <v>0</v>
      </c>
    </row>
    <row r="537" spans="22:25" ht="15">
      <c r="V537" s="144">
        <f t="shared" si="113"/>
        <v>531</v>
      </c>
      <c r="W537" s="184">
        <f t="shared" si="114"/>
        <v>0</v>
      </c>
      <c r="X537" s="184">
        <f t="shared" si="115"/>
        <v>0</v>
      </c>
      <c r="Y537" s="184">
        <f t="shared" si="116"/>
        <v>0</v>
      </c>
    </row>
    <row r="538" spans="22:25" ht="15">
      <c r="V538" s="144">
        <f t="shared" si="113"/>
        <v>532</v>
      </c>
      <c r="W538" s="184">
        <f t="shared" si="114"/>
        <v>0</v>
      </c>
      <c r="X538" s="184">
        <f t="shared" si="115"/>
        <v>0</v>
      </c>
      <c r="Y538" s="184">
        <f t="shared" si="116"/>
        <v>0</v>
      </c>
    </row>
    <row r="539" spans="22:25" ht="15">
      <c r="V539" s="144">
        <f t="shared" si="113"/>
        <v>533</v>
      </c>
      <c r="W539" s="184">
        <f t="shared" si="114"/>
        <v>0</v>
      </c>
      <c r="X539" s="184">
        <f t="shared" si="115"/>
        <v>0</v>
      </c>
      <c r="Y539" s="184">
        <f t="shared" si="116"/>
        <v>0</v>
      </c>
    </row>
    <row r="540" spans="22:25" ht="15">
      <c r="V540" s="144">
        <f t="shared" si="113"/>
        <v>534</v>
      </c>
      <c r="W540" s="184">
        <f t="shared" si="114"/>
        <v>0</v>
      </c>
      <c r="X540" s="184">
        <f t="shared" si="115"/>
        <v>0</v>
      </c>
      <c r="Y540" s="184">
        <f t="shared" si="116"/>
        <v>0</v>
      </c>
    </row>
    <row r="541" spans="22:25" ht="15">
      <c r="V541" s="144">
        <f t="shared" si="113"/>
        <v>535</v>
      </c>
      <c r="W541" s="184">
        <f t="shared" si="114"/>
        <v>0</v>
      </c>
      <c r="X541" s="184">
        <f t="shared" si="115"/>
        <v>0</v>
      </c>
      <c r="Y541" s="184">
        <f t="shared" si="116"/>
        <v>0</v>
      </c>
    </row>
    <row r="542" spans="22:25" ht="15">
      <c r="V542" s="144">
        <f t="shared" si="113"/>
        <v>536</v>
      </c>
      <c r="W542" s="184">
        <f t="shared" si="114"/>
        <v>0</v>
      </c>
      <c r="X542" s="184">
        <f t="shared" si="115"/>
        <v>0</v>
      </c>
      <c r="Y542" s="184">
        <f t="shared" si="116"/>
        <v>0</v>
      </c>
    </row>
    <row r="543" spans="22:25" ht="15">
      <c r="V543" s="144">
        <f t="shared" si="113"/>
        <v>537</v>
      </c>
      <c r="W543" s="184">
        <f t="shared" si="114"/>
        <v>0</v>
      </c>
      <c r="X543" s="184">
        <f t="shared" si="115"/>
        <v>0</v>
      </c>
      <c r="Y543" s="184">
        <f t="shared" si="116"/>
        <v>0</v>
      </c>
    </row>
    <row r="544" spans="22:25" ht="15">
      <c r="V544" s="144">
        <f t="shared" si="113"/>
        <v>538</v>
      </c>
      <c r="W544" s="184">
        <f t="shared" si="114"/>
        <v>0</v>
      </c>
      <c r="X544" s="184">
        <f t="shared" si="115"/>
        <v>0</v>
      </c>
      <c r="Y544" s="184">
        <f t="shared" si="116"/>
        <v>0</v>
      </c>
    </row>
    <row r="545" spans="22:25" ht="15">
      <c r="V545" s="144">
        <f t="shared" si="113"/>
        <v>539</v>
      </c>
      <c r="W545" s="184">
        <f t="shared" si="114"/>
        <v>0</v>
      </c>
      <c r="X545" s="184">
        <f t="shared" si="115"/>
        <v>0</v>
      </c>
      <c r="Y545" s="184">
        <f t="shared" si="116"/>
        <v>0</v>
      </c>
    </row>
    <row r="546" spans="22:25" ht="15">
      <c r="V546" s="144">
        <f t="shared" si="113"/>
        <v>540</v>
      </c>
      <c r="W546" s="184">
        <f t="shared" si="114"/>
        <v>0</v>
      </c>
      <c r="X546" s="184">
        <f t="shared" si="115"/>
        <v>0</v>
      </c>
      <c r="Y546" s="184">
        <f t="shared" si="116"/>
        <v>0</v>
      </c>
    </row>
    <row r="547" spans="22:25" ht="15">
      <c r="V547" s="144">
        <f t="shared" si="113"/>
        <v>541</v>
      </c>
      <c r="W547" s="184">
        <f t="shared" si="114"/>
        <v>0</v>
      </c>
      <c r="X547" s="184">
        <f t="shared" si="115"/>
        <v>0</v>
      </c>
      <c r="Y547" s="184">
        <f t="shared" si="116"/>
        <v>0</v>
      </c>
    </row>
    <row r="548" spans="22:25" ht="15">
      <c r="V548" s="144">
        <f t="shared" si="113"/>
        <v>542</v>
      </c>
      <c r="W548" s="184">
        <f t="shared" si="114"/>
        <v>0</v>
      </c>
      <c r="X548" s="184">
        <f t="shared" si="115"/>
        <v>0</v>
      </c>
      <c r="Y548" s="184">
        <f t="shared" si="116"/>
        <v>0</v>
      </c>
    </row>
    <row r="549" spans="22:25" ht="15">
      <c r="V549" s="144">
        <f t="shared" si="113"/>
        <v>543</v>
      </c>
      <c r="W549" s="184">
        <f t="shared" si="114"/>
        <v>0</v>
      </c>
      <c r="X549" s="184">
        <f t="shared" si="115"/>
        <v>0</v>
      </c>
      <c r="Y549" s="184">
        <f t="shared" si="116"/>
        <v>0</v>
      </c>
    </row>
    <row r="550" spans="22:25" ht="15">
      <c r="V550" s="144">
        <f t="shared" si="113"/>
        <v>544</v>
      </c>
      <c r="W550" s="184">
        <f t="shared" si="114"/>
        <v>0</v>
      </c>
      <c r="X550" s="184">
        <f t="shared" si="115"/>
        <v>0</v>
      </c>
      <c r="Y550" s="184">
        <f t="shared" si="116"/>
        <v>0</v>
      </c>
    </row>
    <row r="551" spans="22:25" ht="15">
      <c r="V551" s="144">
        <f t="shared" si="113"/>
        <v>545</v>
      </c>
      <c r="W551" s="184">
        <f t="shared" si="114"/>
        <v>0</v>
      </c>
      <c r="X551" s="184">
        <f t="shared" si="115"/>
        <v>0</v>
      </c>
      <c r="Y551" s="184">
        <f t="shared" si="116"/>
        <v>0</v>
      </c>
    </row>
    <row r="552" spans="22:25" ht="15">
      <c r="V552" s="144">
        <f t="shared" si="113"/>
        <v>546</v>
      </c>
      <c r="W552" s="184">
        <f t="shared" si="114"/>
        <v>0</v>
      </c>
      <c r="X552" s="184">
        <f t="shared" si="115"/>
        <v>0</v>
      </c>
      <c r="Y552" s="184">
        <f t="shared" si="116"/>
        <v>0</v>
      </c>
    </row>
    <row r="553" spans="22:25" ht="15">
      <c r="V553" s="144">
        <f t="shared" si="113"/>
        <v>547</v>
      </c>
      <c r="W553" s="184">
        <f t="shared" si="114"/>
        <v>0</v>
      </c>
      <c r="X553" s="184">
        <f t="shared" si="115"/>
        <v>0</v>
      </c>
      <c r="Y553" s="184">
        <f t="shared" si="116"/>
        <v>0</v>
      </c>
    </row>
    <row r="554" spans="22:25" ht="15">
      <c r="V554" s="144">
        <f t="shared" si="113"/>
        <v>548</v>
      </c>
      <c r="W554" s="184">
        <f t="shared" si="114"/>
        <v>0</v>
      </c>
      <c r="X554" s="184">
        <f t="shared" si="115"/>
        <v>0</v>
      </c>
      <c r="Y554" s="184">
        <f t="shared" si="116"/>
        <v>0</v>
      </c>
    </row>
    <row r="555" spans="22:25" ht="15">
      <c r="V555" s="144">
        <f t="shared" si="113"/>
        <v>549</v>
      </c>
      <c r="W555" s="184">
        <f t="shared" si="114"/>
        <v>0</v>
      </c>
      <c r="X555" s="184">
        <f t="shared" si="115"/>
        <v>0</v>
      </c>
      <c r="Y555" s="184">
        <f t="shared" si="116"/>
        <v>0</v>
      </c>
    </row>
    <row r="556" spans="22:25" ht="15">
      <c r="V556" s="144">
        <f t="shared" si="113"/>
        <v>550</v>
      </c>
      <c r="W556" s="184">
        <f t="shared" si="114"/>
        <v>0</v>
      </c>
      <c r="X556" s="184">
        <f t="shared" si="115"/>
        <v>0</v>
      </c>
      <c r="Y556" s="184">
        <f t="shared" si="116"/>
        <v>0</v>
      </c>
    </row>
    <row r="557" spans="22:25" ht="15">
      <c r="V557" s="144">
        <f t="shared" si="113"/>
        <v>551</v>
      </c>
      <c r="W557" s="184">
        <f t="shared" si="114"/>
        <v>0</v>
      </c>
      <c r="X557" s="184">
        <f t="shared" si="115"/>
        <v>0</v>
      </c>
      <c r="Y557" s="184">
        <f t="shared" si="116"/>
        <v>0</v>
      </c>
    </row>
    <row r="558" spans="22:25" ht="15">
      <c r="V558" s="144">
        <f t="shared" si="113"/>
        <v>552</v>
      </c>
      <c r="W558" s="184">
        <f t="shared" si="114"/>
        <v>0</v>
      </c>
      <c r="X558" s="184">
        <f t="shared" si="115"/>
        <v>0</v>
      </c>
      <c r="Y558" s="184">
        <f t="shared" si="116"/>
        <v>0</v>
      </c>
    </row>
    <row r="559" spans="22:25" ht="15">
      <c r="V559" s="144">
        <f t="shared" si="113"/>
        <v>553</v>
      </c>
      <c r="W559" s="184">
        <f t="shared" si="114"/>
        <v>0</v>
      </c>
      <c r="X559" s="184">
        <f t="shared" si="115"/>
        <v>0</v>
      </c>
      <c r="Y559" s="184">
        <f t="shared" si="116"/>
        <v>0</v>
      </c>
    </row>
    <row r="560" spans="22:25" ht="15">
      <c r="V560" s="144">
        <f t="shared" si="113"/>
        <v>554</v>
      </c>
      <c r="W560" s="184">
        <f t="shared" si="114"/>
        <v>0</v>
      </c>
      <c r="X560" s="184">
        <f t="shared" si="115"/>
        <v>0</v>
      </c>
      <c r="Y560" s="184">
        <f t="shared" si="116"/>
        <v>0</v>
      </c>
    </row>
    <row r="561" spans="22:25" ht="15">
      <c r="V561" s="144">
        <f t="shared" si="113"/>
        <v>555</v>
      </c>
      <c r="W561" s="184">
        <f t="shared" si="114"/>
        <v>0</v>
      </c>
      <c r="X561" s="184">
        <f t="shared" si="115"/>
        <v>0</v>
      </c>
      <c r="Y561" s="184">
        <f t="shared" si="116"/>
        <v>0</v>
      </c>
    </row>
    <row r="562" spans="22:25" ht="15">
      <c r="V562" s="144">
        <f t="shared" si="113"/>
        <v>556</v>
      </c>
      <c r="W562" s="184">
        <f t="shared" si="114"/>
        <v>0</v>
      </c>
      <c r="X562" s="184">
        <f t="shared" si="115"/>
        <v>0</v>
      </c>
      <c r="Y562" s="184">
        <f t="shared" si="116"/>
        <v>0</v>
      </c>
    </row>
    <row r="563" spans="22:25" ht="15">
      <c r="V563" s="144">
        <f t="shared" si="113"/>
        <v>557</v>
      </c>
      <c r="W563" s="184">
        <f t="shared" si="114"/>
        <v>0</v>
      </c>
      <c r="X563" s="184">
        <f t="shared" si="115"/>
        <v>0</v>
      </c>
      <c r="Y563" s="184">
        <f t="shared" si="116"/>
        <v>0</v>
      </c>
    </row>
    <row r="564" spans="22:25" ht="15">
      <c r="V564" s="144">
        <f t="shared" si="113"/>
        <v>558</v>
      </c>
      <c r="W564" s="184">
        <f t="shared" si="114"/>
        <v>0</v>
      </c>
      <c r="X564" s="184">
        <f t="shared" si="115"/>
        <v>0</v>
      </c>
      <c r="Y564" s="184">
        <f t="shared" si="116"/>
        <v>0</v>
      </c>
    </row>
    <row r="565" spans="22:25" ht="15">
      <c r="V565" s="144">
        <f t="shared" si="113"/>
        <v>559</v>
      </c>
      <c r="W565" s="184">
        <f t="shared" si="114"/>
        <v>0</v>
      </c>
      <c r="X565" s="184">
        <f t="shared" si="115"/>
        <v>0</v>
      </c>
      <c r="Y565" s="184">
        <f t="shared" si="116"/>
        <v>0</v>
      </c>
    </row>
    <row r="566" spans="22:25" ht="15">
      <c r="V566" s="144">
        <f t="shared" si="113"/>
        <v>560</v>
      </c>
      <c r="W566" s="184">
        <f t="shared" si="114"/>
        <v>0</v>
      </c>
      <c r="X566" s="184">
        <f t="shared" si="115"/>
        <v>0</v>
      </c>
      <c r="Y566" s="184">
        <f t="shared" si="116"/>
        <v>0</v>
      </c>
    </row>
    <row r="567" spans="22:25" ht="15">
      <c r="V567" s="144">
        <f t="shared" si="113"/>
        <v>561</v>
      </c>
      <c r="W567" s="184">
        <f t="shared" si="114"/>
        <v>0</v>
      </c>
      <c r="X567" s="184">
        <f t="shared" si="115"/>
        <v>0</v>
      </c>
      <c r="Y567" s="184">
        <f t="shared" si="116"/>
        <v>0</v>
      </c>
    </row>
    <row r="568" spans="22:25" ht="15">
      <c r="V568" s="144">
        <f t="shared" si="113"/>
        <v>562</v>
      </c>
      <c r="W568" s="184">
        <f t="shared" si="114"/>
        <v>0</v>
      </c>
      <c r="X568" s="184">
        <f t="shared" si="115"/>
        <v>0</v>
      </c>
      <c r="Y568" s="184">
        <f t="shared" si="116"/>
        <v>0</v>
      </c>
    </row>
    <row r="569" spans="22:25" ht="15">
      <c r="V569" s="144">
        <f t="shared" si="113"/>
        <v>563</v>
      </c>
      <c r="W569" s="184">
        <f t="shared" si="114"/>
        <v>0</v>
      </c>
      <c r="X569" s="184">
        <f t="shared" si="115"/>
        <v>0</v>
      </c>
      <c r="Y569" s="184">
        <f t="shared" si="116"/>
        <v>0</v>
      </c>
    </row>
    <row r="570" spans="22:25" ht="15">
      <c r="V570" s="144">
        <f t="shared" si="113"/>
        <v>564</v>
      </c>
      <c r="W570" s="184">
        <f t="shared" si="114"/>
        <v>0</v>
      </c>
      <c r="X570" s="184">
        <f t="shared" si="115"/>
        <v>0</v>
      </c>
      <c r="Y570" s="184">
        <f t="shared" si="116"/>
        <v>0</v>
      </c>
    </row>
    <row r="571" spans="22:25" ht="15">
      <c r="V571" s="144">
        <f t="shared" si="113"/>
        <v>565</v>
      </c>
      <c r="W571" s="184">
        <f t="shared" si="114"/>
        <v>0</v>
      </c>
      <c r="X571" s="184">
        <f t="shared" si="115"/>
        <v>0</v>
      </c>
      <c r="Y571" s="184">
        <f t="shared" si="116"/>
        <v>0</v>
      </c>
    </row>
    <row r="572" spans="22:25" ht="15">
      <c r="V572" s="144">
        <f t="shared" si="113"/>
        <v>566</v>
      </c>
      <c r="W572" s="184">
        <f t="shared" si="114"/>
        <v>0</v>
      </c>
      <c r="X572" s="184">
        <f t="shared" si="115"/>
        <v>0</v>
      </c>
      <c r="Y572" s="184">
        <f t="shared" si="116"/>
        <v>0</v>
      </c>
    </row>
    <row r="573" spans="22:25" ht="15">
      <c r="V573" s="144">
        <f t="shared" si="113"/>
        <v>567</v>
      </c>
      <c r="W573" s="184">
        <f t="shared" si="114"/>
        <v>0</v>
      </c>
      <c r="X573" s="184">
        <f t="shared" si="115"/>
        <v>0</v>
      </c>
      <c r="Y573" s="184">
        <f t="shared" si="116"/>
        <v>0</v>
      </c>
    </row>
    <row r="574" spans="22:25" ht="15">
      <c r="V574" s="144">
        <f t="shared" si="113"/>
        <v>568</v>
      </c>
      <c r="W574" s="184">
        <f t="shared" si="114"/>
        <v>0</v>
      </c>
      <c r="X574" s="184">
        <f t="shared" si="115"/>
        <v>0</v>
      </c>
      <c r="Y574" s="184">
        <f t="shared" si="116"/>
        <v>0</v>
      </c>
    </row>
    <row r="575" spans="22:25" ht="15">
      <c r="V575" s="144">
        <f t="shared" si="113"/>
        <v>569</v>
      </c>
      <c r="W575" s="184">
        <f t="shared" si="114"/>
        <v>0</v>
      </c>
      <c r="X575" s="184">
        <f t="shared" si="115"/>
        <v>0</v>
      </c>
      <c r="Y575" s="184">
        <f t="shared" si="116"/>
        <v>0</v>
      </c>
    </row>
    <row r="576" spans="22:25" ht="15">
      <c r="V576" s="144">
        <f t="shared" si="113"/>
        <v>570</v>
      </c>
      <c r="W576" s="184">
        <f t="shared" si="114"/>
        <v>0</v>
      </c>
      <c r="X576" s="184">
        <f t="shared" si="115"/>
        <v>0</v>
      </c>
      <c r="Y576" s="184">
        <f t="shared" si="116"/>
        <v>0</v>
      </c>
    </row>
    <row r="577" spans="22:25" ht="15">
      <c r="V577" s="144">
        <f t="shared" si="113"/>
        <v>571</v>
      </c>
      <c r="W577" s="184">
        <f t="shared" si="114"/>
        <v>0</v>
      </c>
      <c r="X577" s="184">
        <f t="shared" si="115"/>
        <v>0</v>
      </c>
      <c r="Y577" s="184">
        <f t="shared" si="116"/>
        <v>0</v>
      </c>
    </row>
    <row r="578" spans="22:25" ht="15">
      <c r="V578" s="144">
        <f t="shared" si="113"/>
        <v>572</v>
      </c>
      <c r="W578" s="184">
        <f t="shared" si="114"/>
        <v>0</v>
      </c>
      <c r="X578" s="184">
        <f t="shared" si="115"/>
        <v>0</v>
      </c>
      <c r="Y578" s="184">
        <f t="shared" si="116"/>
        <v>0</v>
      </c>
    </row>
    <row r="579" spans="22:25" ht="15">
      <c r="V579" s="144">
        <f t="shared" si="113"/>
        <v>573</v>
      </c>
      <c r="W579" s="184">
        <f t="shared" si="114"/>
        <v>0</v>
      </c>
      <c r="X579" s="184">
        <f t="shared" si="115"/>
        <v>0</v>
      </c>
      <c r="Y579" s="184">
        <f t="shared" si="116"/>
        <v>0</v>
      </c>
    </row>
    <row r="580" spans="22:25" ht="15">
      <c r="V580" s="144">
        <f t="shared" si="113"/>
        <v>574</v>
      </c>
      <c r="W580" s="184">
        <f t="shared" si="114"/>
        <v>0</v>
      </c>
      <c r="X580" s="184">
        <f t="shared" si="115"/>
        <v>0</v>
      </c>
      <c r="Y580" s="184">
        <f t="shared" si="116"/>
        <v>0</v>
      </c>
    </row>
    <row r="581" spans="22:25" ht="15">
      <c r="V581" s="144">
        <f t="shared" si="113"/>
        <v>575</v>
      </c>
      <c r="W581" s="184">
        <f t="shared" si="114"/>
        <v>0</v>
      </c>
      <c r="X581" s="184">
        <f t="shared" si="115"/>
        <v>0</v>
      </c>
      <c r="Y581" s="184">
        <f t="shared" si="116"/>
        <v>0</v>
      </c>
    </row>
    <row r="582" spans="22:25" ht="15">
      <c r="V582" s="144">
        <f t="shared" si="113"/>
        <v>576</v>
      </c>
      <c r="W582" s="184">
        <f t="shared" si="114"/>
        <v>0</v>
      </c>
      <c r="X582" s="184">
        <f t="shared" si="115"/>
        <v>0</v>
      </c>
      <c r="Y582" s="184">
        <f t="shared" si="116"/>
        <v>0</v>
      </c>
    </row>
    <row r="583" spans="22:25" ht="15">
      <c r="V583" s="144">
        <f t="shared" si="113"/>
        <v>577</v>
      </c>
      <c r="W583" s="184">
        <f t="shared" si="114"/>
        <v>0</v>
      </c>
      <c r="X583" s="184">
        <f t="shared" si="115"/>
        <v>0</v>
      </c>
      <c r="Y583" s="184">
        <f t="shared" si="116"/>
        <v>0</v>
      </c>
    </row>
    <row r="584" spans="22:25" ht="15">
      <c r="V584" s="144">
        <f t="shared" si="113"/>
        <v>578</v>
      </c>
      <c r="W584" s="184">
        <f t="shared" si="114"/>
        <v>0</v>
      </c>
      <c r="X584" s="184">
        <f t="shared" si="115"/>
        <v>0</v>
      </c>
      <c r="Y584" s="184">
        <f t="shared" si="116"/>
        <v>0</v>
      </c>
    </row>
    <row r="585" spans="22:25" ht="15">
      <c r="V585" s="144">
        <f aca="true" t="shared" si="117" ref="V585:V648">1+V584</f>
        <v>579</v>
      </c>
      <c r="W585" s="184">
        <f aca="true" t="shared" si="118" ref="W585:W648">IF($V585&lt;12*$Q$17,W584+$Q$16*POWER(1+$Q$15/12,-($V585-1)),0)</f>
        <v>0</v>
      </c>
      <c r="X585" s="184">
        <f aca="true" t="shared" si="119" ref="X585:X648">IF($V585&lt;12*$Q$18,X584+$Q$16*POWER(1+$Q$15/12,-($V585-1)),0)</f>
        <v>0</v>
      </c>
      <c r="Y585" s="184">
        <f aca="true" t="shared" si="120" ref="Y585:Y648">IF(AND($V585&lt;12*$Q$17,$V585&lt;12*$Q$18),Y584+($Q$16/2)*POWER(1+$Q$15/12,-($V585-1)),0)</f>
        <v>0</v>
      </c>
    </row>
    <row r="586" spans="22:25" ht="15">
      <c r="V586" s="144">
        <f t="shared" si="117"/>
        <v>580</v>
      </c>
      <c r="W586" s="184">
        <f t="shared" si="118"/>
        <v>0</v>
      </c>
      <c r="X586" s="184">
        <f t="shared" si="119"/>
        <v>0</v>
      </c>
      <c r="Y586" s="184">
        <f t="shared" si="120"/>
        <v>0</v>
      </c>
    </row>
    <row r="587" spans="22:25" ht="15">
      <c r="V587" s="144">
        <f t="shared" si="117"/>
        <v>581</v>
      </c>
      <c r="W587" s="184">
        <f t="shared" si="118"/>
        <v>0</v>
      </c>
      <c r="X587" s="184">
        <f t="shared" si="119"/>
        <v>0</v>
      </c>
      <c r="Y587" s="184">
        <f t="shared" si="120"/>
        <v>0</v>
      </c>
    </row>
    <row r="588" spans="22:25" ht="15">
      <c r="V588" s="144">
        <f t="shared" si="117"/>
        <v>582</v>
      </c>
      <c r="W588" s="184">
        <f t="shared" si="118"/>
        <v>0</v>
      </c>
      <c r="X588" s="184">
        <f t="shared" si="119"/>
        <v>0</v>
      </c>
      <c r="Y588" s="184">
        <f t="shared" si="120"/>
        <v>0</v>
      </c>
    </row>
    <row r="589" spans="22:25" ht="15">
      <c r="V589" s="144">
        <f t="shared" si="117"/>
        <v>583</v>
      </c>
      <c r="W589" s="184">
        <f t="shared" si="118"/>
        <v>0</v>
      </c>
      <c r="X589" s="184">
        <f t="shared" si="119"/>
        <v>0</v>
      </c>
      <c r="Y589" s="184">
        <f t="shared" si="120"/>
        <v>0</v>
      </c>
    </row>
    <row r="590" spans="22:25" ht="15">
      <c r="V590" s="144">
        <f t="shared" si="117"/>
        <v>584</v>
      </c>
      <c r="W590" s="184">
        <f t="shared" si="118"/>
        <v>0</v>
      </c>
      <c r="X590" s="184">
        <f t="shared" si="119"/>
        <v>0</v>
      </c>
      <c r="Y590" s="184">
        <f t="shared" si="120"/>
        <v>0</v>
      </c>
    </row>
    <row r="591" spans="22:25" ht="15">
      <c r="V591" s="144">
        <f t="shared" si="117"/>
        <v>585</v>
      </c>
      <c r="W591" s="184">
        <f t="shared" si="118"/>
        <v>0</v>
      </c>
      <c r="X591" s="184">
        <f t="shared" si="119"/>
        <v>0</v>
      </c>
      <c r="Y591" s="184">
        <f t="shared" si="120"/>
        <v>0</v>
      </c>
    </row>
    <row r="592" spans="22:25" ht="15">
      <c r="V592" s="144">
        <f t="shared" si="117"/>
        <v>586</v>
      </c>
      <c r="W592" s="184">
        <f t="shared" si="118"/>
        <v>0</v>
      </c>
      <c r="X592" s="184">
        <f t="shared" si="119"/>
        <v>0</v>
      </c>
      <c r="Y592" s="184">
        <f t="shared" si="120"/>
        <v>0</v>
      </c>
    </row>
    <row r="593" spans="22:25" ht="15">
      <c r="V593" s="144">
        <f t="shared" si="117"/>
        <v>587</v>
      </c>
      <c r="W593" s="184">
        <f t="shared" si="118"/>
        <v>0</v>
      </c>
      <c r="X593" s="184">
        <f t="shared" si="119"/>
        <v>0</v>
      </c>
      <c r="Y593" s="184">
        <f t="shared" si="120"/>
        <v>0</v>
      </c>
    </row>
    <row r="594" spans="22:25" ht="15">
      <c r="V594" s="144">
        <f t="shared" si="117"/>
        <v>588</v>
      </c>
      <c r="W594" s="184">
        <f t="shared" si="118"/>
        <v>0</v>
      </c>
      <c r="X594" s="184">
        <f t="shared" si="119"/>
        <v>0</v>
      </c>
      <c r="Y594" s="184">
        <f t="shared" si="120"/>
        <v>0</v>
      </c>
    </row>
    <row r="595" spans="22:25" ht="15">
      <c r="V595" s="144">
        <f t="shared" si="117"/>
        <v>589</v>
      </c>
      <c r="W595" s="184">
        <f t="shared" si="118"/>
        <v>0</v>
      </c>
      <c r="X595" s="184">
        <f t="shared" si="119"/>
        <v>0</v>
      </c>
      <c r="Y595" s="184">
        <f t="shared" si="120"/>
        <v>0</v>
      </c>
    </row>
    <row r="596" spans="22:25" ht="15">
      <c r="V596" s="144">
        <f t="shared" si="117"/>
        <v>590</v>
      </c>
      <c r="W596" s="184">
        <f t="shared" si="118"/>
        <v>0</v>
      </c>
      <c r="X596" s="184">
        <f t="shared" si="119"/>
        <v>0</v>
      </c>
      <c r="Y596" s="184">
        <f t="shared" si="120"/>
        <v>0</v>
      </c>
    </row>
    <row r="597" spans="22:25" ht="15">
      <c r="V597" s="144">
        <f t="shared" si="117"/>
        <v>591</v>
      </c>
      <c r="W597" s="184">
        <f t="shared" si="118"/>
        <v>0</v>
      </c>
      <c r="X597" s="184">
        <f t="shared" si="119"/>
        <v>0</v>
      </c>
      <c r="Y597" s="184">
        <f t="shared" si="120"/>
        <v>0</v>
      </c>
    </row>
    <row r="598" spans="22:25" ht="15">
      <c r="V598" s="144">
        <f t="shared" si="117"/>
        <v>592</v>
      </c>
      <c r="W598" s="184">
        <f t="shared" si="118"/>
        <v>0</v>
      </c>
      <c r="X598" s="184">
        <f t="shared" si="119"/>
        <v>0</v>
      </c>
      <c r="Y598" s="184">
        <f t="shared" si="120"/>
        <v>0</v>
      </c>
    </row>
    <row r="599" spans="22:25" ht="15">
      <c r="V599" s="144">
        <f t="shared" si="117"/>
        <v>593</v>
      </c>
      <c r="W599" s="184">
        <f t="shared" si="118"/>
        <v>0</v>
      </c>
      <c r="X599" s="184">
        <f t="shared" si="119"/>
        <v>0</v>
      </c>
      <c r="Y599" s="184">
        <f t="shared" si="120"/>
        <v>0</v>
      </c>
    </row>
    <row r="600" spans="22:25" ht="15">
      <c r="V600" s="144">
        <f t="shared" si="117"/>
        <v>594</v>
      </c>
      <c r="W600" s="184">
        <f t="shared" si="118"/>
        <v>0</v>
      </c>
      <c r="X600" s="184">
        <f t="shared" si="119"/>
        <v>0</v>
      </c>
      <c r="Y600" s="184">
        <f t="shared" si="120"/>
        <v>0</v>
      </c>
    </row>
    <row r="601" spans="22:25" ht="15">
      <c r="V601" s="144">
        <f t="shared" si="117"/>
        <v>595</v>
      </c>
      <c r="W601" s="184">
        <f t="shared" si="118"/>
        <v>0</v>
      </c>
      <c r="X601" s="184">
        <f t="shared" si="119"/>
        <v>0</v>
      </c>
      <c r="Y601" s="184">
        <f t="shared" si="120"/>
        <v>0</v>
      </c>
    </row>
    <row r="602" spans="22:25" ht="15">
      <c r="V602" s="144">
        <f t="shared" si="117"/>
        <v>596</v>
      </c>
      <c r="W602" s="184">
        <f t="shared" si="118"/>
        <v>0</v>
      </c>
      <c r="X602" s="184">
        <f t="shared" si="119"/>
        <v>0</v>
      </c>
      <c r="Y602" s="184">
        <f t="shared" si="120"/>
        <v>0</v>
      </c>
    </row>
    <row r="603" spans="22:25" ht="15">
      <c r="V603" s="144">
        <f t="shared" si="117"/>
        <v>597</v>
      </c>
      <c r="W603" s="184">
        <f t="shared" si="118"/>
        <v>0</v>
      </c>
      <c r="X603" s="184">
        <f t="shared" si="119"/>
        <v>0</v>
      </c>
      <c r="Y603" s="184">
        <f t="shared" si="120"/>
        <v>0</v>
      </c>
    </row>
    <row r="604" spans="22:25" ht="15">
      <c r="V604" s="144">
        <f t="shared" si="117"/>
        <v>598</v>
      </c>
      <c r="W604" s="184">
        <f t="shared" si="118"/>
        <v>0</v>
      </c>
      <c r="X604" s="184">
        <f t="shared" si="119"/>
        <v>0</v>
      </c>
      <c r="Y604" s="184">
        <f t="shared" si="120"/>
        <v>0</v>
      </c>
    </row>
    <row r="605" spans="22:25" ht="15">
      <c r="V605" s="144">
        <f t="shared" si="117"/>
        <v>599</v>
      </c>
      <c r="W605" s="184">
        <f t="shared" si="118"/>
        <v>0</v>
      </c>
      <c r="X605" s="184">
        <f t="shared" si="119"/>
        <v>0</v>
      </c>
      <c r="Y605" s="184">
        <f t="shared" si="120"/>
        <v>0</v>
      </c>
    </row>
    <row r="606" spans="22:25" ht="15">
      <c r="V606" s="144">
        <f t="shared" si="117"/>
        <v>600</v>
      </c>
      <c r="W606" s="184">
        <f t="shared" si="118"/>
        <v>0</v>
      </c>
      <c r="X606" s="184">
        <f t="shared" si="119"/>
        <v>0</v>
      </c>
      <c r="Y606" s="184">
        <f t="shared" si="120"/>
        <v>0</v>
      </c>
    </row>
    <row r="607" spans="22:25" ht="15">
      <c r="V607" s="144">
        <f t="shared" si="117"/>
        <v>601</v>
      </c>
      <c r="W607" s="184">
        <f t="shared" si="118"/>
        <v>0</v>
      </c>
      <c r="X607" s="184">
        <f t="shared" si="119"/>
        <v>0</v>
      </c>
      <c r="Y607" s="184">
        <f t="shared" si="120"/>
        <v>0</v>
      </c>
    </row>
    <row r="608" spans="22:25" ht="15">
      <c r="V608" s="144">
        <f t="shared" si="117"/>
        <v>602</v>
      </c>
      <c r="W608" s="184">
        <f t="shared" si="118"/>
        <v>0</v>
      </c>
      <c r="X608" s="184">
        <f t="shared" si="119"/>
        <v>0</v>
      </c>
      <c r="Y608" s="184">
        <f t="shared" si="120"/>
        <v>0</v>
      </c>
    </row>
    <row r="609" spans="22:25" ht="15">
      <c r="V609" s="144">
        <f t="shared" si="117"/>
        <v>603</v>
      </c>
      <c r="W609" s="184">
        <f t="shared" si="118"/>
        <v>0</v>
      </c>
      <c r="X609" s="184">
        <f t="shared" si="119"/>
        <v>0</v>
      </c>
      <c r="Y609" s="184">
        <f t="shared" si="120"/>
        <v>0</v>
      </c>
    </row>
    <row r="610" spans="22:25" ht="15">
      <c r="V610" s="144">
        <f t="shared" si="117"/>
        <v>604</v>
      </c>
      <c r="W610" s="184">
        <f t="shared" si="118"/>
        <v>0</v>
      </c>
      <c r="X610" s="184">
        <f t="shared" si="119"/>
        <v>0</v>
      </c>
      <c r="Y610" s="184">
        <f t="shared" si="120"/>
        <v>0</v>
      </c>
    </row>
    <row r="611" spans="22:25" ht="15">
      <c r="V611" s="144">
        <f t="shared" si="117"/>
        <v>605</v>
      </c>
      <c r="W611" s="184">
        <f t="shared" si="118"/>
        <v>0</v>
      </c>
      <c r="X611" s="184">
        <f t="shared" si="119"/>
        <v>0</v>
      </c>
      <c r="Y611" s="184">
        <f t="shared" si="120"/>
        <v>0</v>
      </c>
    </row>
    <row r="612" spans="22:25" ht="15">
      <c r="V612" s="144">
        <f t="shared" si="117"/>
        <v>606</v>
      </c>
      <c r="W612" s="184">
        <f t="shared" si="118"/>
        <v>0</v>
      </c>
      <c r="X612" s="184">
        <f t="shared" si="119"/>
        <v>0</v>
      </c>
      <c r="Y612" s="184">
        <f t="shared" si="120"/>
        <v>0</v>
      </c>
    </row>
    <row r="613" spans="22:25" ht="15">
      <c r="V613" s="144">
        <f t="shared" si="117"/>
        <v>607</v>
      </c>
      <c r="W613" s="184">
        <f t="shared" si="118"/>
        <v>0</v>
      </c>
      <c r="X613" s="184">
        <f t="shared" si="119"/>
        <v>0</v>
      </c>
      <c r="Y613" s="184">
        <f t="shared" si="120"/>
        <v>0</v>
      </c>
    </row>
    <row r="614" spans="22:25" ht="15">
      <c r="V614" s="144">
        <f t="shared" si="117"/>
        <v>608</v>
      </c>
      <c r="W614" s="184">
        <f t="shared" si="118"/>
        <v>0</v>
      </c>
      <c r="X614" s="184">
        <f t="shared" si="119"/>
        <v>0</v>
      </c>
      <c r="Y614" s="184">
        <f t="shared" si="120"/>
        <v>0</v>
      </c>
    </row>
    <row r="615" spans="22:25" ht="15">
      <c r="V615" s="144">
        <f t="shared" si="117"/>
        <v>609</v>
      </c>
      <c r="W615" s="184">
        <f t="shared" si="118"/>
        <v>0</v>
      </c>
      <c r="X615" s="184">
        <f t="shared" si="119"/>
        <v>0</v>
      </c>
      <c r="Y615" s="184">
        <f t="shared" si="120"/>
        <v>0</v>
      </c>
    </row>
    <row r="616" spans="22:25" ht="15">
      <c r="V616" s="144">
        <f t="shared" si="117"/>
        <v>610</v>
      </c>
      <c r="W616" s="184">
        <f t="shared" si="118"/>
        <v>0</v>
      </c>
      <c r="X616" s="184">
        <f t="shared" si="119"/>
        <v>0</v>
      </c>
      <c r="Y616" s="184">
        <f t="shared" si="120"/>
        <v>0</v>
      </c>
    </row>
    <row r="617" spans="22:25" ht="15">
      <c r="V617" s="144">
        <f t="shared" si="117"/>
        <v>611</v>
      </c>
      <c r="W617" s="184">
        <f t="shared" si="118"/>
        <v>0</v>
      </c>
      <c r="X617" s="184">
        <f t="shared" si="119"/>
        <v>0</v>
      </c>
      <c r="Y617" s="184">
        <f t="shared" si="120"/>
        <v>0</v>
      </c>
    </row>
    <row r="618" spans="22:25" ht="15">
      <c r="V618" s="144">
        <f t="shared" si="117"/>
        <v>612</v>
      </c>
      <c r="W618" s="184">
        <f t="shared" si="118"/>
        <v>0</v>
      </c>
      <c r="X618" s="184">
        <f t="shared" si="119"/>
        <v>0</v>
      </c>
      <c r="Y618" s="184">
        <f t="shared" si="120"/>
        <v>0</v>
      </c>
    </row>
    <row r="619" spans="22:25" ht="15">
      <c r="V619" s="144">
        <f t="shared" si="117"/>
        <v>613</v>
      </c>
      <c r="W619" s="184">
        <f t="shared" si="118"/>
        <v>0</v>
      </c>
      <c r="X619" s="184">
        <f t="shared" si="119"/>
        <v>0</v>
      </c>
      <c r="Y619" s="184">
        <f t="shared" si="120"/>
        <v>0</v>
      </c>
    </row>
    <row r="620" spans="22:25" ht="15">
      <c r="V620" s="144">
        <f t="shared" si="117"/>
        <v>614</v>
      </c>
      <c r="W620" s="184">
        <f t="shared" si="118"/>
        <v>0</v>
      </c>
      <c r="X620" s="184">
        <f t="shared" si="119"/>
        <v>0</v>
      </c>
      <c r="Y620" s="184">
        <f t="shared" si="120"/>
        <v>0</v>
      </c>
    </row>
    <row r="621" spans="22:25" ht="15">
      <c r="V621" s="144">
        <f t="shared" si="117"/>
        <v>615</v>
      </c>
      <c r="W621" s="184">
        <f t="shared" si="118"/>
        <v>0</v>
      </c>
      <c r="X621" s="184">
        <f t="shared" si="119"/>
        <v>0</v>
      </c>
      <c r="Y621" s="184">
        <f t="shared" si="120"/>
        <v>0</v>
      </c>
    </row>
    <row r="622" spans="22:25" ht="15">
      <c r="V622" s="144">
        <f t="shared" si="117"/>
        <v>616</v>
      </c>
      <c r="W622" s="184">
        <f t="shared" si="118"/>
        <v>0</v>
      </c>
      <c r="X622" s="184">
        <f t="shared" si="119"/>
        <v>0</v>
      </c>
      <c r="Y622" s="184">
        <f t="shared" si="120"/>
        <v>0</v>
      </c>
    </row>
    <row r="623" spans="22:25" ht="15">
      <c r="V623" s="144">
        <f t="shared" si="117"/>
        <v>617</v>
      </c>
      <c r="W623" s="184">
        <f t="shared" si="118"/>
        <v>0</v>
      </c>
      <c r="X623" s="184">
        <f t="shared" si="119"/>
        <v>0</v>
      </c>
      <c r="Y623" s="184">
        <f t="shared" si="120"/>
        <v>0</v>
      </c>
    </row>
    <row r="624" spans="22:25" ht="15">
      <c r="V624" s="144">
        <f t="shared" si="117"/>
        <v>618</v>
      </c>
      <c r="W624" s="184">
        <f t="shared" si="118"/>
        <v>0</v>
      </c>
      <c r="X624" s="184">
        <f t="shared" si="119"/>
        <v>0</v>
      </c>
      <c r="Y624" s="184">
        <f t="shared" si="120"/>
        <v>0</v>
      </c>
    </row>
    <row r="625" spans="22:25" ht="15">
      <c r="V625" s="144">
        <f t="shared" si="117"/>
        <v>619</v>
      </c>
      <c r="W625" s="184">
        <f t="shared" si="118"/>
        <v>0</v>
      </c>
      <c r="X625" s="184">
        <f t="shared" si="119"/>
        <v>0</v>
      </c>
      <c r="Y625" s="184">
        <f t="shared" si="120"/>
        <v>0</v>
      </c>
    </row>
    <row r="626" spans="22:25" ht="15">
      <c r="V626" s="144">
        <f t="shared" si="117"/>
        <v>620</v>
      </c>
      <c r="W626" s="184">
        <f t="shared" si="118"/>
        <v>0</v>
      </c>
      <c r="X626" s="184">
        <f t="shared" si="119"/>
        <v>0</v>
      </c>
      <c r="Y626" s="184">
        <f t="shared" si="120"/>
        <v>0</v>
      </c>
    </row>
    <row r="627" spans="22:25" ht="15">
      <c r="V627" s="144">
        <f t="shared" si="117"/>
        <v>621</v>
      </c>
      <c r="W627" s="184">
        <f t="shared" si="118"/>
        <v>0</v>
      </c>
      <c r="X627" s="184">
        <f t="shared" si="119"/>
        <v>0</v>
      </c>
      <c r="Y627" s="184">
        <f t="shared" si="120"/>
        <v>0</v>
      </c>
    </row>
    <row r="628" spans="22:25" ht="15">
      <c r="V628" s="144">
        <f t="shared" si="117"/>
        <v>622</v>
      </c>
      <c r="W628" s="184">
        <f t="shared" si="118"/>
        <v>0</v>
      </c>
      <c r="X628" s="184">
        <f t="shared" si="119"/>
        <v>0</v>
      </c>
      <c r="Y628" s="184">
        <f t="shared" si="120"/>
        <v>0</v>
      </c>
    </row>
    <row r="629" spans="22:25" ht="15">
      <c r="V629" s="144">
        <f t="shared" si="117"/>
        <v>623</v>
      </c>
      <c r="W629" s="184">
        <f t="shared" si="118"/>
        <v>0</v>
      </c>
      <c r="X629" s="184">
        <f t="shared" si="119"/>
        <v>0</v>
      </c>
      <c r="Y629" s="184">
        <f t="shared" si="120"/>
        <v>0</v>
      </c>
    </row>
    <row r="630" spans="22:25" ht="15">
      <c r="V630" s="144">
        <f t="shared" si="117"/>
        <v>624</v>
      </c>
      <c r="W630" s="184">
        <f t="shared" si="118"/>
        <v>0</v>
      </c>
      <c r="X630" s="184">
        <f t="shared" si="119"/>
        <v>0</v>
      </c>
      <c r="Y630" s="184">
        <f t="shared" si="120"/>
        <v>0</v>
      </c>
    </row>
    <row r="631" spans="22:25" ht="15">
      <c r="V631" s="144">
        <f t="shared" si="117"/>
        <v>625</v>
      </c>
      <c r="W631" s="184">
        <f t="shared" si="118"/>
        <v>0</v>
      </c>
      <c r="X631" s="184">
        <f t="shared" si="119"/>
        <v>0</v>
      </c>
      <c r="Y631" s="184">
        <f t="shared" si="120"/>
        <v>0</v>
      </c>
    </row>
    <row r="632" spans="22:25" ht="15">
      <c r="V632" s="144">
        <f t="shared" si="117"/>
        <v>626</v>
      </c>
      <c r="W632" s="184">
        <f t="shared" si="118"/>
        <v>0</v>
      </c>
      <c r="X632" s="184">
        <f t="shared" si="119"/>
        <v>0</v>
      </c>
      <c r="Y632" s="184">
        <f t="shared" si="120"/>
        <v>0</v>
      </c>
    </row>
    <row r="633" spans="22:25" ht="15">
      <c r="V633" s="144">
        <f t="shared" si="117"/>
        <v>627</v>
      </c>
      <c r="W633" s="184">
        <f t="shared" si="118"/>
        <v>0</v>
      </c>
      <c r="X633" s="184">
        <f t="shared" si="119"/>
        <v>0</v>
      </c>
      <c r="Y633" s="184">
        <f t="shared" si="120"/>
        <v>0</v>
      </c>
    </row>
    <row r="634" spans="22:25" ht="15">
      <c r="V634" s="144">
        <f t="shared" si="117"/>
        <v>628</v>
      </c>
      <c r="W634" s="184">
        <f t="shared" si="118"/>
        <v>0</v>
      </c>
      <c r="X634" s="184">
        <f t="shared" si="119"/>
        <v>0</v>
      </c>
      <c r="Y634" s="184">
        <f t="shared" si="120"/>
        <v>0</v>
      </c>
    </row>
    <row r="635" spans="22:25" ht="15">
      <c r="V635" s="144">
        <f t="shared" si="117"/>
        <v>629</v>
      </c>
      <c r="W635" s="184">
        <f t="shared" si="118"/>
        <v>0</v>
      </c>
      <c r="X635" s="184">
        <f t="shared" si="119"/>
        <v>0</v>
      </c>
      <c r="Y635" s="184">
        <f t="shared" si="120"/>
        <v>0</v>
      </c>
    </row>
    <row r="636" spans="22:25" ht="15">
      <c r="V636" s="144">
        <f t="shared" si="117"/>
        <v>630</v>
      </c>
      <c r="W636" s="184">
        <f t="shared" si="118"/>
        <v>0</v>
      </c>
      <c r="X636" s="184">
        <f t="shared" si="119"/>
        <v>0</v>
      </c>
      <c r="Y636" s="184">
        <f t="shared" si="120"/>
        <v>0</v>
      </c>
    </row>
    <row r="637" spans="22:25" ht="15">
      <c r="V637" s="144">
        <f t="shared" si="117"/>
        <v>631</v>
      </c>
      <c r="W637" s="184">
        <f t="shared" si="118"/>
        <v>0</v>
      </c>
      <c r="X637" s="184">
        <f t="shared" si="119"/>
        <v>0</v>
      </c>
      <c r="Y637" s="184">
        <f t="shared" si="120"/>
        <v>0</v>
      </c>
    </row>
    <row r="638" spans="22:25" ht="15">
      <c r="V638" s="144">
        <f t="shared" si="117"/>
        <v>632</v>
      </c>
      <c r="W638" s="184">
        <f t="shared" si="118"/>
        <v>0</v>
      </c>
      <c r="X638" s="184">
        <f t="shared" si="119"/>
        <v>0</v>
      </c>
      <c r="Y638" s="184">
        <f t="shared" si="120"/>
        <v>0</v>
      </c>
    </row>
    <row r="639" spans="22:25" ht="15">
      <c r="V639" s="144">
        <f t="shared" si="117"/>
        <v>633</v>
      </c>
      <c r="W639" s="184">
        <f t="shared" si="118"/>
        <v>0</v>
      </c>
      <c r="X639" s="184">
        <f t="shared" si="119"/>
        <v>0</v>
      </c>
      <c r="Y639" s="184">
        <f t="shared" si="120"/>
        <v>0</v>
      </c>
    </row>
    <row r="640" spans="22:25" ht="15">
      <c r="V640" s="144">
        <f t="shared" si="117"/>
        <v>634</v>
      </c>
      <c r="W640" s="184">
        <f t="shared" si="118"/>
        <v>0</v>
      </c>
      <c r="X640" s="184">
        <f t="shared" si="119"/>
        <v>0</v>
      </c>
      <c r="Y640" s="184">
        <f t="shared" si="120"/>
        <v>0</v>
      </c>
    </row>
    <row r="641" spans="22:25" ht="15">
      <c r="V641" s="144">
        <f t="shared" si="117"/>
        <v>635</v>
      </c>
      <c r="W641" s="184">
        <f t="shared" si="118"/>
        <v>0</v>
      </c>
      <c r="X641" s="184">
        <f t="shared" si="119"/>
        <v>0</v>
      </c>
      <c r="Y641" s="184">
        <f t="shared" si="120"/>
        <v>0</v>
      </c>
    </row>
    <row r="642" spans="22:25" ht="15">
      <c r="V642" s="144">
        <f t="shared" si="117"/>
        <v>636</v>
      </c>
      <c r="W642" s="184">
        <f t="shared" si="118"/>
        <v>0</v>
      </c>
      <c r="X642" s="184">
        <f t="shared" si="119"/>
        <v>0</v>
      </c>
      <c r="Y642" s="184">
        <f t="shared" si="120"/>
        <v>0</v>
      </c>
    </row>
    <row r="643" spans="22:25" ht="15">
      <c r="V643" s="144">
        <f t="shared" si="117"/>
        <v>637</v>
      </c>
      <c r="W643" s="184">
        <f t="shared" si="118"/>
        <v>0</v>
      </c>
      <c r="X643" s="184">
        <f t="shared" si="119"/>
        <v>0</v>
      </c>
      <c r="Y643" s="184">
        <f t="shared" si="120"/>
        <v>0</v>
      </c>
    </row>
    <row r="644" spans="22:25" ht="15">
      <c r="V644" s="144">
        <f t="shared" si="117"/>
        <v>638</v>
      </c>
      <c r="W644" s="184">
        <f t="shared" si="118"/>
        <v>0</v>
      </c>
      <c r="X644" s="184">
        <f t="shared" si="119"/>
        <v>0</v>
      </c>
      <c r="Y644" s="184">
        <f t="shared" si="120"/>
        <v>0</v>
      </c>
    </row>
    <row r="645" spans="22:25" ht="15">
      <c r="V645" s="144">
        <f t="shared" si="117"/>
        <v>639</v>
      </c>
      <c r="W645" s="184">
        <f t="shared" si="118"/>
        <v>0</v>
      </c>
      <c r="X645" s="184">
        <f t="shared" si="119"/>
        <v>0</v>
      </c>
      <c r="Y645" s="184">
        <f t="shared" si="120"/>
        <v>0</v>
      </c>
    </row>
    <row r="646" spans="22:25" ht="15">
      <c r="V646" s="144">
        <f t="shared" si="117"/>
        <v>640</v>
      </c>
      <c r="W646" s="184">
        <f t="shared" si="118"/>
        <v>0</v>
      </c>
      <c r="X646" s="184">
        <f t="shared" si="119"/>
        <v>0</v>
      </c>
      <c r="Y646" s="184">
        <f t="shared" si="120"/>
        <v>0</v>
      </c>
    </row>
    <row r="647" spans="22:25" ht="15">
      <c r="V647" s="144">
        <f t="shared" si="117"/>
        <v>641</v>
      </c>
      <c r="W647" s="184">
        <f t="shared" si="118"/>
        <v>0</v>
      </c>
      <c r="X647" s="184">
        <f t="shared" si="119"/>
        <v>0</v>
      </c>
      <c r="Y647" s="184">
        <f t="shared" si="120"/>
        <v>0</v>
      </c>
    </row>
    <row r="648" spans="22:25" ht="15">
      <c r="V648" s="144">
        <f t="shared" si="117"/>
        <v>642</v>
      </c>
      <c r="W648" s="184">
        <f t="shared" si="118"/>
        <v>0</v>
      </c>
      <c r="X648" s="184">
        <f t="shared" si="119"/>
        <v>0</v>
      </c>
      <c r="Y648" s="184">
        <f t="shared" si="120"/>
        <v>0</v>
      </c>
    </row>
    <row r="649" spans="22:25" ht="15">
      <c r="V649" s="144">
        <f aca="true" t="shared" si="121" ref="V649:V712">1+V648</f>
        <v>643</v>
      </c>
      <c r="W649" s="184">
        <f aca="true" t="shared" si="122" ref="W649:W712">IF($V649&lt;12*$Q$17,W648+$Q$16*POWER(1+$Q$15/12,-($V649-1)),0)</f>
        <v>0</v>
      </c>
      <c r="X649" s="184">
        <f aca="true" t="shared" si="123" ref="X649:X712">IF($V649&lt;12*$Q$18,X648+$Q$16*POWER(1+$Q$15/12,-($V649-1)),0)</f>
        <v>0</v>
      </c>
      <c r="Y649" s="184">
        <f aca="true" t="shared" si="124" ref="Y649:Y712">IF(AND($V649&lt;12*$Q$17,$V649&lt;12*$Q$18),Y648+($Q$16/2)*POWER(1+$Q$15/12,-($V649-1)),0)</f>
        <v>0</v>
      </c>
    </row>
    <row r="650" spans="22:25" ht="15">
      <c r="V650" s="144">
        <f t="shared" si="121"/>
        <v>644</v>
      </c>
      <c r="W650" s="184">
        <f t="shared" si="122"/>
        <v>0</v>
      </c>
      <c r="X650" s="184">
        <f t="shared" si="123"/>
        <v>0</v>
      </c>
      <c r="Y650" s="184">
        <f t="shared" si="124"/>
        <v>0</v>
      </c>
    </row>
    <row r="651" spans="22:25" ht="15">
      <c r="V651" s="144">
        <f t="shared" si="121"/>
        <v>645</v>
      </c>
      <c r="W651" s="184">
        <f t="shared" si="122"/>
        <v>0</v>
      </c>
      <c r="X651" s="184">
        <f t="shared" si="123"/>
        <v>0</v>
      </c>
      <c r="Y651" s="184">
        <f t="shared" si="124"/>
        <v>0</v>
      </c>
    </row>
    <row r="652" spans="22:25" ht="15">
      <c r="V652" s="144">
        <f t="shared" si="121"/>
        <v>646</v>
      </c>
      <c r="W652" s="184">
        <f t="shared" si="122"/>
        <v>0</v>
      </c>
      <c r="X652" s="184">
        <f t="shared" si="123"/>
        <v>0</v>
      </c>
      <c r="Y652" s="184">
        <f t="shared" si="124"/>
        <v>0</v>
      </c>
    </row>
    <row r="653" spans="22:25" ht="15">
      <c r="V653" s="144">
        <f t="shared" si="121"/>
        <v>647</v>
      </c>
      <c r="W653" s="184">
        <f t="shared" si="122"/>
        <v>0</v>
      </c>
      <c r="X653" s="184">
        <f t="shared" si="123"/>
        <v>0</v>
      </c>
      <c r="Y653" s="184">
        <f t="shared" si="124"/>
        <v>0</v>
      </c>
    </row>
    <row r="654" spans="22:25" ht="15">
      <c r="V654" s="144">
        <f t="shared" si="121"/>
        <v>648</v>
      </c>
      <c r="W654" s="184">
        <f t="shared" si="122"/>
        <v>0</v>
      </c>
      <c r="X654" s="184">
        <f t="shared" si="123"/>
        <v>0</v>
      </c>
      <c r="Y654" s="184">
        <f t="shared" si="124"/>
        <v>0</v>
      </c>
    </row>
    <row r="655" spans="22:25" ht="15">
      <c r="V655" s="144">
        <f t="shared" si="121"/>
        <v>649</v>
      </c>
      <c r="W655" s="184">
        <f t="shared" si="122"/>
        <v>0</v>
      </c>
      <c r="X655" s="184">
        <f t="shared" si="123"/>
        <v>0</v>
      </c>
      <c r="Y655" s="184">
        <f t="shared" si="124"/>
        <v>0</v>
      </c>
    </row>
    <row r="656" spans="22:25" ht="15">
      <c r="V656" s="144">
        <f t="shared" si="121"/>
        <v>650</v>
      </c>
      <c r="W656" s="184">
        <f t="shared" si="122"/>
        <v>0</v>
      </c>
      <c r="X656" s="184">
        <f t="shared" si="123"/>
        <v>0</v>
      </c>
      <c r="Y656" s="184">
        <f t="shared" si="124"/>
        <v>0</v>
      </c>
    </row>
    <row r="657" spans="22:25" ht="15">
      <c r="V657" s="144">
        <f t="shared" si="121"/>
        <v>651</v>
      </c>
      <c r="W657" s="184">
        <f t="shared" si="122"/>
        <v>0</v>
      </c>
      <c r="X657" s="184">
        <f t="shared" si="123"/>
        <v>0</v>
      </c>
      <c r="Y657" s="184">
        <f t="shared" si="124"/>
        <v>0</v>
      </c>
    </row>
    <row r="658" spans="22:25" ht="15">
      <c r="V658" s="144">
        <f t="shared" si="121"/>
        <v>652</v>
      </c>
      <c r="W658" s="184">
        <f t="shared" si="122"/>
        <v>0</v>
      </c>
      <c r="X658" s="184">
        <f t="shared" si="123"/>
        <v>0</v>
      </c>
      <c r="Y658" s="184">
        <f t="shared" si="124"/>
        <v>0</v>
      </c>
    </row>
    <row r="659" spans="22:25" ht="15">
      <c r="V659" s="144">
        <f t="shared" si="121"/>
        <v>653</v>
      </c>
      <c r="W659" s="184">
        <f t="shared" si="122"/>
        <v>0</v>
      </c>
      <c r="X659" s="184">
        <f t="shared" si="123"/>
        <v>0</v>
      </c>
      <c r="Y659" s="184">
        <f t="shared" si="124"/>
        <v>0</v>
      </c>
    </row>
    <row r="660" spans="22:25" ht="15">
      <c r="V660" s="144">
        <f t="shared" si="121"/>
        <v>654</v>
      </c>
      <c r="W660" s="184">
        <f t="shared" si="122"/>
        <v>0</v>
      </c>
      <c r="X660" s="184">
        <f t="shared" si="123"/>
        <v>0</v>
      </c>
      <c r="Y660" s="184">
        <f t="shared" si="124"/>
        <v>0</v>
      </c>
    </row>
    <row r="661" spans="22:25" ht="15">
      <c r="V661" s="144">
        <f t="shared" si="121"/>
        <v>655</v>
      </c>
      <c r="W661" s="184">
        <f t="shared" si="122"/>
        <v>0</v>
      </c>
      <c r="X661" s="184">
        <f t="shared" si="123"/>
        <v>0</v>
      </c>
      <c r="Y661" s="184">
        <f t="shared" si="124"/>
        <v>0</v>
      </c>
    </row>
    <row r="662" spans="22:25" ht="15">
      <c r="V662" s="144">
        <f t="shared" si="121"/>
        <v>656</v>
      </c>
      <c r="W662" s="184">
        <f t="shared" si="122"/>
        <v>0</v>
      </c>
      <c r="X662" s="184">
        <f t="shared" si="123"/>
        <v>0</v>
      </c>
      <c r="Y662" s="184">
        <f t="shared" si="124"/>
        <v>0</v>
      </c>
    </row>
    <row r="663" spans="22:25" ht="15">
      <c r="V663" s="144">
        <f t="shared" si="121"/>
        <v>657</v>
      </c>
      <c r="W663" s="184">
        <f t="shared" si="122"/>
        <v>0</v>
      </c>
      <c r="X663" s="184">
        <f t="shared" si="123"/>
        <v>0</v>
      </c>
      <c r="Y663" s="184">
        <f t="shared" si="124"/>
        <v>0</v>
      </c>
    </row>
    <row r="664" spans="22:25" ht="15">
      <c r="V664" s="144">
        <f t="shared" si="121"/>
        <v>658</v>
      </c>
      <c r="W664" s="184">
        <f t="shared" si="122"/>
        <v>0</v>
      </c>
      <c r="X664" s="184">
        <f t="shared" si="123"/>
        <v>0</v>
      </c>
      <c r="Y664" s="184">
        <f t="shared" si="124"/>
        <v>0</v>
      </c>
    </row>
    <row r="665" spans="22:25" ht="15">
      <c r="V665" s="144">
        <f t="shared" si="121"/>
        <v>659</v>
      </c>
      <c r="W665" s="184">
        <f t="shared" si="122"/>
        <v>0</v>
      </c>
      <c r="X665" s="184">
        <f t="shared" si="123"/>
        <v>0</v>
      </c>
      <c r="Y665" s="184">
        <f t="shared" si="124"/>
        <v>0</v>
      </c>
    </row>
    <row r="666" spans="22:25" ht="15">
      <c r="V666" s="144">
        <f t="shared" si="121"/>
        <v>660</v>
      </c>
      <c r="W666" s="184">
        <f t="shared" si="122"/>
        <v>0</v>
      </c>
      <c r="X666" s="184">
        <f t="shared" si="123"/>
        <v>0</v>
      </c>
      <c r="Y666" s="184">
        <f t="shared" si="124"/>
        <v>0</v>
      </c>
    </row>
    <row r="667" spans="22:25" ht="15">
      <c r="V667" s="144">
        <f t="shared" si="121"/>
        <v>661</v>
      </c>
      <c r="W667" s="184">
        <f t="shared" si="122"/>
        <v>0</v>
      </c>
      <c r="X667" s="184">
        <f t="shared" si="123"/>
        <v>0</v>
      </c>
      <c r="Y667" s="184">
        <f t="shared" si="124"/>
        <v>0</v>
      </c>
    </row>
    <row r="668" spans="22:25" ht="15">
      <c r="V668" s="144">
        <f t="shared" si="121"/>
        <v>662</v>
      </c>
      <c r="W668" s="184">
        <f t="shared" si="122"/>
        <v>0</v>
      </c>
      <c r="X668" s="184">
        <f t="shared" si="123"/>
        <v>0</v>
      </c>
      <c r="Y668" s="184">
        <f t="shared" si="124"/>
        <v>0</v>
      </c>
    </row>
    <row r="669" spans="22:25" ht="15">
      <c r="V669" s="144">
        <f t="shared" si="121"/>
        <v>663</v>
      </c>
      <c r="W669" s="184">
        <f t="shared" si="122"/>
        <v>0</v>
      </c>
      <c r="X669" s="184">
        <f t="shared" si="123"/>
        <v>0</v>
      </c>
      <c r="Y669" s="184">
        <f t="shared" si="124"/>
        <v>0</v>
      </c>
    </row>
    <row r="670" spans="22:25" ht="15">
      <c r="V670" s="144">
        <f t="shared" si="121"/>
        <v>664</v>
      </c>
      <c r="W670" s="184">
        <f t="shared" si="122"/>
        <v>0</v>
      </c>
      <c r="X670" s="184">
        <f t="shared" si="123"/>
        <v>0</v>
      </c>
      <c r="Y670" s="184">
        <f t="shared" si="124"/>
        <v>0</v>
      </c>
    </row>
    <row r="671" spans="22:25" ht="15">
      <c r="V671" s="144">
        <f t="shared" si="121"/>
        <v>665</v>
      </c>
      <c r="W671" s="184">
        <f t="shared" si="122"/>
        <v>0</v>
      </c>
      <c r="X671" s="184">
        <f t="shared" si="123"/>
        <v>0</v>
      </c>
      <c r="Y671" s="184">
        <f t="shared" si="124"/>
        <v>0</v>
      </c>
    </row>
    <row r="672" spans="22:25" ht="15">
      <c r="V672" s="144">
        <f t="shared" si="121"/>
        <v>666</v>
      </c>
      <c r="W672" s="184">
        <f t="shared" si="122"/>
        <v>0</v>
      </c>
      <c r="X672" s="184">
        <f t="shared" si="123"/>
        <v>0</v>
      </c>
      <c r="Y672" s="184">
        <f t="shared" si="124"/>
        <v>0</v>
      </c>
    </row>
    <row r="673" spans="22:25" ht="15">
      <c r="V673" s="144">
        <f t="shared" si="121"/>
        <v>667</v>
      </c>
      <c r="W673" s="184">
        <f t="shared" si="122"/>
        <v>0</v>
      </c>
      <c r="X673" s="184">
        <f t="shared" si="123"/>
        <v>0</v>
      </c>
      <c r="Y673" s="184">
        <f t="shared" si="124"/>
        <v>0</v>
      </c>
    </row>
    <row r="674" spans="22:25" ht="15">
      <c r="V674" s="144">
        <f t="shared" si="121"/>
        <v>668</v>
      </c>
      <c r="W674" s="184">
        <f t="shared" si="122"/>
        <v>0</v>
      </c>
      <c r="X674" s="184">
        <f t="shared" si="123"/>
        <v>0</v>
      </c>
      <c r="Y674" s="184">
        <f t="shared" si="124"/>
        <v>0</v>
      </c>
    </row>
    <row r="675" spans="22:25" ht="15">
      <c r="V675" s="144">
        <f t="shared" si="121"/>
        <v>669</v>
      </c>
      <c r="W675" s="184">
        <f t="shared" si="122"/>
        <v>0</v>
      </c>
      <c r="X675" s="184">
        <f t="shared" si="123"/>
        <v>0</v>
      </c>
      <c r="Y675" s="184">
        <f t="shared" si="124"/>
        <v>0</v>
      </c>
    </row>
    <row r="676" spans="22:25" ht="15">
      <c r="V676" s="144">
        <f t="shared" si="121"/>
        <v>670</v>
      </c>
      <c r="W676" s="184">
        <f t="shared" si="122"/>
        <v>0</v>
      </c>
      <c r="X676" s="184">
        <f t="shared" si="123"/>
        <v>0</v>
      </c>
      <c r="Y676" s="184">
        <f t="shared" si="124"/>
        <v>0</v>
      </c>
    </row>
    <row r="677" spans="22:25" ht="15">
      <c r="V677" s="144">
        <f t="shared" si="121"/>
        <v>671</v>
      </c>
      <c r="W677" s="184">
        <f t="shared" si="122"/>
        <v>0</v>
      </c>
      <c r="X677" s="184">
        <f t="shared" si="123"/>
        <v>0</v>
      </c>
      <c r="Y677" s="184">
        <f t="shared" si="124"/>
        <v>0</v>
      </c>
    </row>
    <row r="678" spans="22:25" ht="15">
      <c r="V678" s="144">
        <f t="shared" si="121"/>
        <v>672</v>
      </c>
      <c r="W678" s="184">
        <f t="shared" si="122"/>
        <v>0</v>
      </c>
      <c r="X678" s="184">
        <f t="shared" si="123"/>
        <v>0</v>
      </c>
      <c r="Y678" s="184">
        <f t="shared" si="124"/>
        <v>0</v>
      </c>
    </row>
    <row r="679" spans="22:25" ht="15">
      <c r="V679" s="144">
        <f t="shared" si="121"/>
        <v>673</v>
      </c>
      <c r="W679" s="184">
        <f t="shared" si="122"/>
        <v>0</v>
      </c>
      <c r="X679" s="184">
        <f t="shared" si="123"/>
        <v>0</v>
      </c>
      <c r="Y679" s="184">
        <f t="shared" si="124"/>
        <v>0</v>
      </c>
    </row>
    <row r="680" spans="22:25" ht="15">
      <c r="V680" s="144">
        <f t="shared" si="121"/>
        <v>674</v>
      </c>
      <c r="W680" s="184">
        <f t="shared" si="122"/>
        <v>0</v>
      </c>
      <c r="X680" s="184">
        <f t="shared" si="123"/>
        <v>0</v>
      </c>
      <c r="Y680" s="184">
        <f t="shared" si="124"/>
        <v>0</v>
      </c>
    </row>
    <row r="681" spans="22:25" ht="15">
      <c r="V681" s="144">
        <f t="shared" si="121"/>
        <v>675</v>
      </c>
      <c r="W681" s="184">
        <f t="shared" si="122"/>
        <v>0</v>
      </c>
      <c r="X681" s="184">
        <f t="shared" si="123"/>
        <v>0</v>
      </c>
      <c r="Y681" s="184">
        <f t="shared" si="124"/>
        <v>0</v>
      </c>
    </row>
    <row r="682" spans="22:25" ht="15">
      <c r="V682" s="144">
        <f t="shared" si="121"/>
        <v>676</v>
      </c>
      <c r="W682" s="184">
        <f t="shared" si="122"/>
        <v>0</v>
      </c>
      <c r="X682" s="184">
        <f t="shared" si="123"/>
        <v>0</v>
      </c>
      <c r="Y682" s="184">
        <f t="shared" si="124"/>
        <v>0</v>
      </c>
    </row>
    <row r="683" spans="22:25" ht="15">
      <c r="V683" s="144">
        <f t="shared" si="121"/>
        <v>677</v>
      </c>
      <c r="W683" s="184">
        <f t="shared" si="122"/>
        <v>0</v>
      </c>
      <c r="X683" s="184">
        <f t="shared" si="123"/>
        <v>0</v>
      </c>
      <c r="Y683" s="184">
        <f t="shared" si="124"/>
        <v>0</v>
      </c>
    </row>
    <row r="684" spans="22:25" ht="15">
      <c r="V684" s="144">
        <f t="shared" si="121"/>
        <v>678</v>
      </c>
      <c r="W684" s="184">
        <f t="shared" si="122"/>
        <v>0</v>
      </c>
      <c r="X684" s="184">
        <f t="shared" si="123"/>
        <v>0</v>
      </c>
      <c r="Y684" s="184">
        <f t="shared" si="124"/>
        <v>0</v>
      </c>
    </row>
    <row r="685" spans="22:25" ht="15">
      <c r="V685" s="144">
        <f t="shared" si="121"/>
        <v>679</v>
      </c>
      <c r="W685" s="184">
        <f t="shared" si="122"/>
        <v>0</v>
      </c>
      <c r="X685" s="184">
        <f t="shared" si="123"/>
        <v>0</v>
      </c>
      <c r="Y685" s="184">
        <f t="shared" si="124"/>
        <v>0</v>
      </c>
    </row>
    <row r="686" spans="22:25" ht="15">
      <c r="V686" s="144">
        <f t="shared" si="121"/>
        <v>680</v>
      </c>
      <c r="W686" s="184">
        <f t="shared" si="122"/>
        <v>0</v>
      </c>
      <c r="X686" s="184">
        <f t="shared" si="123"/>
        <v>0</v>
      </c>
      <c r="Y686" s="184">
        <f t="shared" si="124"/>
        <v>0</v>
      </c>
    </row>
    <row r="687" spans="22:25" ht="15">
      <c r="V687" s="144">
        <f t="shared" si="121"/>
        <v>681</v>
      </c>
      <c r="W687" s="184">
        <f t="shared" si="122"/>
        <v>0</v>
      </c>
      <c r="X687" s="184">
        <f t="shared" si="123"/>
        <v>0</v>
      </c>
      <c r="Y687" s="184">
        <f t="shared" si="124"/>
        <v>0</v>
      </c>
    </row>
    <row r="688" spans="22:25" ht="15">
      <c r="V688" s="144">
        <f t="shared" si="121"/>
        <v>682</v>
      </c>
      <c r="W688" s="184">
        <f t="shared" si="122"/>
        <v>0</v>
      </c>
      <c r="X688" s="184">
        <f t="shared" si="123"/>
        <v>0</v>
      </c>
      <c r="Y688" s="184">
        <f t="shared" si="124"/>
        <v>0</v>
      </c>
    </row>
    <row r="689" spans="22:25" ht="15">
      <c r="V689" s="144">
        <f t="shared" si="121"/>
        <v>683</v>
      </c>
      <c r="W689" s="184">
        <f t="shared" si="122"/>
        <v>0</v>
      </c>
      <c r="X689" s="184">
        <f t="shared" si="123"/>
        <v>0</v>
      </c>
      <c r="Y689" s="184">
        <f t="shared" si="124"/>
        <v>0</v>
      </c>
    </row>
    <row r="690" spans="22:25" ht="15">
      <c r="V690" s="144">
        <f t="shared" si="121"/>
        <v>684</v>
      </c>
      <c r="W690" s="184">
        <f t="shared" si="122"/>
        <v>0</v>
      </c>
      <c r="X690" s="184">
        <f t="shared" si="123"/>
        <v>0</v>
      </c>
      <c r="Y690" s="184">
        <f t="shared" si="124"/>
        <v>0</v>
      </c>
    </row>
    <row r="691" spans="22:25" ht="15">
      <c r="V691" s="144">
        <f t="shared" si="121"/>
        <v>685</v>
      </c>
      <c r="W691" s="184">
        <f t="shared" si="122"/>
        <v>0</v>
      </c>
      <c r="X691" s="184">
        <f t="shared" si="123"/>
        <v>0</v>
      </c>
      <c r="Y691" s="184">
        <f t="shared" si="124"/>
        <v>0</v>
      </c>
    </row>
    <row r="692" spans="22:25" ht="15">
      <c r="V692" s="144">
        <f t="shared" si="121"/>
        <v>686</v>
      </c>
      <c r="W692" s="184">
        <f t="shared" si="122"/>
        <v>0</v>
      </c>
      <c r="X692" s="184">
        <f t="shared" si="123"/>
        <v>0</v>
      </c>
      <c r="Y692" s="184">
        <f t="shared" si="124"/>
        <v>0</v>
      </c>
    </row>
    <row r="693" spans="22:25" ht="15">
      <c r="V693" s="144">
        <f t="shared" si="121"/>
        <v>687</v>
      </c>
      <c r="W693" s="184">
        <f t="shared" si="122"/>
        <v>0</v>
      </c>
      <c r="X693" s="184">
        <f t="shared" si="123"/>
        <v>0</v>
      </c>
      <c r="Y693" s="184">
        <f t="shared" si="124"/>
        <v>0</v>
      </c>
    </row>
    <row r="694" spans="22:25" ht="15">
      <c r="V694" s="144">
        <f t="shared" si="121"/>
        <v>688</v>
      </c>
      <c r="W694" s="184">
        <f t="shared" si="122"/>
        <v>0</v>
      </c>
      <c r="X694" s="184">
        <f t="shared" si="123"/>
        <v>0</v>
      </c>
      <c r="Y694" s="184">
        <f t="shared" si="124"/>
        <v>0</v>
      </c>
    </row>
    <row r="695" spans="22:25" ht="15">
      <c r="V695" s="144">
        <f t="shared" si="121"/>
        <v>689</v>
      </c>
      <c r="W695" s="184">
        <f t="shared" si="122"/>
        <v>0</v>
      </c>
      <c r="X695" s="184">
        <f t="shared" si="123"/>
        <v>0</v>
      </c>
      <c r="Y695" s="184">
        <f t="shared" si="124"/>
        <v>0</v>
      </c>
    </row>
    <row r="696" spans="22:25" ht="15">
      <c r="V696" s="144">
        <f t="shared" si="121"/>
        <v>690</v>
      </c>
      <c r="W696" s="184">
        <f t="shared" si="122"/>
        <v>0</v>
      </c>
      <c r="X696" s="184">
        <f t="shared" si="123"/>
        <v>0</v>
      </c>
      <c r="Y696" s="184">
        <f t="shared" si="124"/>
        <v>0</v>
      </c>
    </row>
    <row r="697" spans="22:25" ht="15">
      <c r="V697" s="144">
        <f t="shared" si="121"/>
        <v>691</v>
      </c>
      <c r="W697" s="184">
        <f t="shared" si="122"/>
        <v>0</v>
      </c>
      <c r="X697" s="184">
        <f t="shared" si="123"/>
        <v>0</v>
      </c>
      <c r="Y697" s="184">
        <f t="shared" si="124"/>
        <v>0</v>
      </c>
    </row>
    <row r="698" spans="22:25" ht="15">
      <c r="V698" s="144">
        <f t="shared" si="121"/>
        <v>692</v>
      </c>
      <c r="W698" s="184">
        <f t="shared" si="122"/>
        <v>0</v>
      </c>
      <c r="X698" s="184">
        <f t="shared" si="123"/>
        <v>0</v>
      </c>
      <c r="Y698" s="184">
        <f t="shared" si="124"/>
        <v>0</v>
      </c>
    </row>
    <row r="699" spans="22:25" ht="15">
      <c r="V699" s="144">
        <f t="shared" si="121"/>
        <v>693</v>
      </c>
      <c r="W699" s="184">
        <f t="shared" si="122"/>
        <v>0</v>
      </c>
      <c r="X699" s="184">
        <f t="shared" si="123"/>
        <v>0</v>
      </c>
      <c r="Y699" s="184">
        <f t="shared" si="124"/>
        <v>0</v>
      </c>
    </row>
    <row r="700" spans="22:25" ht="15">
      <c r="V700" s="144">
        <f t="shared" si="121"/>
        <v>694</v>
      </c>
      <c r="W700" s="184">
        <f t="shared" si="122"/>
        <v>0</v>
      </c>
      <c r="X700" s="184">
        <f t="shared" si="123"/>
        <v>0</v>
      </c>
      <c r="Y700" s="184">
        <f t="shared" si="124"/>
        <v>0</v>
      </c>
    </row>
    <row r="701" spans="22:25" ht="15">
      <c r="V701" s="144">
        <f t="shared" si="121"/>
        <v>695</v>
      </c>
      <c r="W701" s="184">
        <f t="shared" si="122"/>
        <v>0</v>
      </c>
      <c r="X701" s="184">
        <f t="shared" si="123"/>
        <v>0</v>
      </c>
      <c r="Y701" s="184">
        <f t="shared" si="124"/>
        <v>0</v>
      </c>
    </row>
    <row r="702" spans="22:25" ht="15">
      <c r="V702" s="144">
        <f t="shared" si="121"/>
        <v>696</v>
      </c>
      <c r="W702" s="184">
        <f t="shared" si="122"/>
        <v>0</v>
      </c>
      <c r="X702" s="184">
        <f t="shared" si="123"/>
        <v>0</v>
      </c>
      <c r="Y702" s="184">
        <f t="shared" si="124"/>
        <v>0</v>
      </c>
    </row>
    <row r="703" spans="22:25" ht="15">
      <c r="V703" s="144">
        <f t="shared" si="121"/>
        <v>697</v>
      </c>
      <c r="W703" s="184">
        <f t="shared" si="122"/>
        <v>0</v>
      </c>
      <c r="X703" s="184">
        <f t="shared" si="123"/>
        <v>0</v>
      </c>
      <c r="Y703" s="184">
        <f t="shared" si="124"/>
        <v>0</v>
      </c>
    </row>
    <row r="704" spans="22:25" ht="15">
      <c r="V704" s="144">
        <f t="shared" si="121"/>
        <v>698</v>
      </c>
      <c r="W704" s="184">
        <f t="shared" si="122"/>
        <v>0</v>
      </c>
      <c r="X704" s="184">
        <f t="shared" si="123"/>
        <v>0</v>
      </c>
      <c r="Y704" s="184">
        <f t="shared" si="124"/>
        <v>0</v>
      </c>
    </row>
    <row r="705" spans="22:25" ht="15">
      <c r="V705" s="144">
        <f t="shared" si="121"/>
        <v>699</v>
      </c>
      <c r="W705" s="184">
        <f t="shared" si="122"/>
        <v>0</v>
      </c>
      <c r="X705" s="184">
        <f t="shared" si="123"/>
        <v>0</v>
      </c>
      <c r="Y705" s="184">
        <f t="shared" si="124"/>
        <v>0</v>
      </c>
    </row>
    <row r="706" spans="22:25" ht="15">
      <c r="V706" s="144">
        <f t="shared" si="121"/>
        <v>700</v>
      </c>
      <c r="W706" s="184">
        <f t="shared" si="122"/>
        <v>0</v>
      </c>
      <c r="X706" s="184">
        <f t="shared" si="123"/>
        <v>0</v>
      </c>
      <c r="Y706" s="184">
        <f t="shared" si="124"/>
        <v>0</v>
      </c>
    </row>
    <row r="707" spans="22:25" ht="15">
      <c r="V707" s="144">
        <f t="shared" si="121"/>
        <v>701</v>
      </c>
      <c r="W707" s="184">
        <f t="shared" si="122"/>
        <v>0</v>
      </c>
      <c r="X707" s="184">
        <f t="shared" si="123"/>
        <v>0</v>
      </c>
      <c r="Y707" s="184">
        <f t="shared" si="124"/>
        <v>0</v>
      </c>
    </row>
    <row r="708" spans="22:25" ht="15">
      <c r="V708" s="144">
        <f t="shared" si="121"/>
        <v>702</v>
      </c>
      <c r="W708" s="184">
        <f t="shared" si="122"/>
        <v>0</v>
      </c>
      <c r="X708" s="184">
        <f t="shared" si="123"/>
        <v>0</v>
      </c>
      <c r="Y708" s="184">
        <f t="shared" si="124"/>
        <v>0</v>
      </c>
    </row>
    <row r="709" spans="22:25" ht="15">
      <c r="V709" s="144">
        <f t="shared" si="121"/>
        <v>703</v>
      </c>
      <c r="W709" s="184">
        <f t="shared" si="122"/>
        <v>0</v>
      </c>
      <c r="X709" s="184">
        <f t="shared" si="123"/>
        <v>0</v>
      </c>
      <c r="Y709" s="184">
        <f t="shared" si="124"/>
        <v>0</v>
      </c>
    </row>
    <row r="710" spans="22:25" ht="15">
      <c r="V710" s="144">
        <f t="shared" si="121"/>
        <v>704</v>
      </c>
      <c r="W710" s="184">
        <f t="shared" si="122"/>
        <v>0</v>
      </c>
      <c r="X710" s="184">
        <f t="shared" si="123"/>
        <v>0</v>
      </c>
      <c r="Y710" s="184">
        <f t="shared" si="124"/>
        <v>0</v>
      </c>
    </row>
    <row r="711" spans="22:25" ht="15">
      <c r="V711" s="144">
        <f t="shared" si="121"/>
        <v>705</v>
      </c>
      <c r="W711" s="184">
        <f t="shared" si="122"/>
        <v>0</v>
      </c>
      <c r="X711" s="184">
        <f t="shared" si="123"/>
        <v>0</v>
      </c>
      <c r="Y711" s="184">
        <f t="shared" si="124"/>
        <v>0</v>
      </c>
    </row>
    <row r="712" spans="22:25" ht="15">
      <c r="V712" s="144">
        <f t="shared" si="121"/>
        <v>706</v>
      </c>
      <c r="W712" s="184">
        <f t="shared" si="122"/>
        <v>0</v>
      </c>
      <c r="X712" s="184">
        <f t="shared" si="123"/>
        <v>0</v>
      </c>
      <c r="Y712" s="184">
        <f t="shared" si="124"/>
        <v>0</v>
      </c>
    </row>
    <row r="713" spans="22:25" ht="15">
      <c r="V713" s="144">
        <f aca="true" t="shared" si="125" ref="V713:V776">1+V712</f>
        <v>707</v>
      </c>
      <c r="W713" s="184">
        <f aca="true" t="shared" si="126" ref="W713:W776">IF($V713&lt;12*$Q$17,W712+$Q$16*POWER(1+$Q$15/12,-($V713-1)),0)</f>
        <v>0</v>
      </c>
      <c r="X713" s="184">
        <f aca="true" t="shared" si="127" ref="X713:X776">IF($V713&lt;12*$Q$18,X712+$Q$16*POWER(1+$Q$15/12,-($V713-1)),0)</f>
        <v>0</v>
      </c>
      <c r="Y713" s="184">
        <f aca="true" t="shared" si="128" ref="Y713:Y776">IF(AND($V713&lt;12*$Q$17,$V713&lt;12*$Q$18),Y712+($Q$16/2)*POWER(1+$Q$15/12,-($V713-1)),0)</f>
        <v>0</v>
      </c>
    </row>
    <row r="714" spans="22:25" ht="15">
      <c r="V714" s="144">
        <f t="shared" si="125"/>
        <v>708</v>
      </c>
      <c r="W714" s="184">
        <f t="shared" si="126"/>
        <v>0</v>
      </c>
      <c r="X714" s="184">
        <f t="shared" si="127"/>
        <v>0</v>
      </c>
      <c r="Y714" s="184">
        <f t="shared" si="128"/>
        <v>0</v>
      </c>
    </row>
    <row r="715" spans="22:25" ht="15">
      <c r="V715" s="144">
        <f t="shared" si="125"/>
        <v>709</v>
      </c>
      <c r="W715" s="184">
        <f t="shared" si="126"/>
        <v>0</v>
      </c>
      <c r="X715" s="184">
        <f t="shared" si="127"/>
        <v>0</v>
      </c>
      <c r="Y715" s="184">
        <f t="shared" si="128"/>
        <v>0</v>
      </c>
    </row>
    <row r="716" spans="22:25" ht="15">
      <c r="V716" s="144">
        <f t="shared" si="125"/>
        <v>710</v>
      </c>
      <c r="W716" s="184">
        <f t="shared" si="126"/>
        <v>0</v>
      </c>
      <c r="X716" s="184">
        <f t="shared" si="127"/>
        <v>0</v>
      </c>
      <c r="Y716" s="184">
        <f t="shared" si="128"/>
        <v>0</v>
      </c>
    </row>
    <row r="717" spans="22:25" ht="15">
      <c r="V717" s="144">
        <f t="shared" si="125"/>
        <v>711</v>
      </c>
      <c r="W717" s="184">
        <f t="shared" si="126"/>
        <v>0</v>
      </c>
      <c r="X717" s="184">
        <f t="shared" si="127"/>
        <v>0</v>
      </c>
      <c r="Y717" s="184">
        <f t="shared" si="128"/>
        <v>0</v>
      </c>
    </row>
    <row r="718" spans="22:25" ht="15">
      <c r="V718" s="144">
        <f t="shared" si="125"/>
        <v>712</v>
      </c>
      <c r="W718" s="184">
        <f t="shared" si="126"/>
        <v>0</v>
      </c>
      <c r="X718" s="184">
        <f t="shared" si="127"/>
        <v>0</v>
      </c>
      <c r="Y718" s="184">
        <f t="shared" si="128"/>
        <v>0</v>
      </c>
    </row>
    <row r="719" spans="22:25" ht="15">
      <c r="V719" s="144">
        <f t="shared" si="125"/>
        <v>713</v>
      </c>
      <c r="W719" s="184">
        <f t="shared" si="126"/>
        <v>0</v>
      </c>
      <c r="X719" s="184">
        <f t="shared" si="127"/>
        <v>0</v>
      </c>
      <c r="Y719" s="184">
        <f t="shared" si="128"/>
        <v>0</v>
      </c>
    </row>
    <row r="720" spans="22:25" ht="15">
      <c r="V720" s="144">
        <f t="shared" si="125"/>
        <v>714</v>
      </c>
      <c r="W720" s="184">
        <f t="shared" si="126"/>
        <v>0</v>
      </c>
      <c r="X720" s="184">
        <f t="shared" si="127"/>
        <v>0</v>
      </c>
      <c r="Y720" s="184">
        <f t="shared" si="128"/>
        <v>0</v>
      </c>
    </row>
    <row r="721" spans="22:25" ht="15">
      <c r="V721" s="144">
        <f t="shared" si="125"/>
        <v>715</v>
      </c>
      <c r="W721" s="184">
        <f t="shared" si="126"/>
        <v>0</v>
      </c>
      <c r="X721" s="184">
        <f t="shared" si="127"/>
        <v>0</v>
      </c>
      <c r="Y721" s="184">
        <f t="shared" si="128"/>
        <v>0</v>
      </c>
    </row>
    <row r="722" spans="22:25" ht="15">
      <c r="V722" s="144">
        <f t="shared" si="125"/>
        <v>716</v>
      </c>
      <c r="W722" s="184">
        <f t="shared" si="126"/>
        <v>0</v>
      </c>
      <c r="X722" s="184">
        <f t="shared" si="127"/>
        <v>0</v>
      </c>
      <c r="Y722" s="184">
        <f t="shared" si="128"/>
        <v>0</v>
      </c>
    </row>
    <row r="723" spans="22:25" ht="15">
      <c r="V723" s="144">
        <f t="shared" si="125"/>
        <v>717</v>
      </c>
      <c r="W723" s="184">
        <f t="shared" si="126"/>
        <v>0</v>
      </c>
      <c r="X723" s="184">
        <f t="shared" si="127"/>
        <v>0</v>
      </c>
      <c r="Y723" s="184">
        <f t="shared" si="128"/>
        <v>0</v>
      </c>
    </row>
    <row r="724" spans="22:25" ht="15">
      <c r="V724" s="144">
        <f t="shared" si="125"/>
        <v>718</v>
      </c>
      <c r="W724" s="184">
        <f t="shared" si="126"/>
        <v>0</v>
      </c>
      <c r="X724" s="184">
        <f t="shared" si="127"/>
        <v>0</v>
      </c>
      <c r="Y724" s="184">
        <f t="shared" si="128"/>
        <v>0</v>
      </c>
    </row>
    <row r="725" spans="22:25" ht="15">
      <c r="V725" s="144">
        <f t="shared" si="125"/>
        <v>719</v>
      </c>
      <c r="W725" s="184">
        <f t="shared" si="126"/>
        <v>0</v>
      </c>
      <c r="X725" s="184">
        <f t="shared" si="127"/>
        <v>0</v>
      </c>
      <c r="Y725" s="184">
        <f t="shared" si="128"/>
        <v>0</v>
      </c>
    </row>
    <row r="726" spans="22:25" ht="15">
      <c r="V726" s="144">
        <f t="shared" si="125"/>
        <v>720</v>
      </c>
      <c r="W726" s="184">
        <f t="shared" si="126"/>
        <v>0</v>
      </c>
      <c r="X726" s="184">
        <f t="shared" si="127"/>
        <v>0</v>
      </c>
      <c r="Y726" s="184">
        <f t="shared" si="128"/>
        <v>0</v>
      </c>
    </row>
    <row r="727" spans="22:25" ht="15">
      <c r="V727" s="144">
        <f t="shared" si="125"/>
        <v>721</v>
      </c>
      <c r="W727" s="184">
        <f t="shared" si="126"/>
        <v>0</v>
      </c>
      <c r="X727" s="184">
        <f t="shared" si="127"/>
        <v>0</v>
      </c>
      <c r="Y727" s="184">
        <f t="shared" si="128"/>
        <v>0</v>
      </c>
    </row>
    <row r="728" spans="22:25" ht="15">
      <c r="V728" s="144">
        <f t="shared" si="125"/>
        <v>722</v>
      </c>
      <c r="W728" s="184">
        <f t="shared" si="126"/>
        <v>0</v>
      </c>
      <c r="X728" s="184">
        <f t="shared" si="127"/>
        <v>0</v>
      </c>
      <c r="Y728" s="184">
        <f t="shared" si="128"/>
        <v>0</v>
      </c>
    </row>
    <row r="729" spans="22:25" ht="15">
      <c r="V729" s="144">
        <f t="shared" si="125"/>
        <v>723</v>
      </c>
      <c r="W729" s="184">
        <f t="shared" si="126"/>
        <v>0</v>
      </c>
      <c r="X729" s="184">
        <f t="shared" si="127"/>
        <v>0</v>
      </c>
      <c r="Y729" s="184">
        <f t="shared" si="128"/>
        <v>0</v>
      </c>
    </row>
    <row r="730" spans="22:25" ht="15">
      <c r="V730" s="144">
        <f t="shared" si="125"/>
        <v>724</v>
      </c>
      <c r="W730" s="184">
        <f t="shared" si="126"/>
        <v>0</v>
      </c>
      <c r="X730" s="184">
        <f t="shared" si="127"/>
        <v>0</v>
      </c>
      <c r="Y730" s="184">
        <f t="shared" si="128"/>
        <v>0</v>
      </c>
    </row>
    <row r="731" spans="22:25" ht="15">
      <c r="V731" s="144">
        <f t="shared" si="125"/>
        <v>725</v>
      </c>
      <c r="W731" s="184">
        <f t="shared" si="126"/>
        <v>0</v>
      </c>
      <c r="X731" s="184">
        <f t="shared" si="127"/>
        <v>0</v>
      </c>
      <c r="Y731" s="184">
        <f t="shared" si="128"/>
        <v>0</v>
      </c>
    </row>
    <row r="732" spans="22:25" ht="15">
      <c r="V732" s="144">
        <f t="shared" si="125"/>
        <v>726</v>
      </c>
      <c r="W732" s="184">
        <f t="shared" si="126"/>
        <v>0</v>
      </c>
      <c r="X732" s="184">
        <f t="shared" si="127"/>
        <v>0</v>
      </c>
      <c r="Y732" s="184">
        <f t="shared" si="128"/>
        <v>0</v>
      </c>
    </row>
    <row r="733" spans="22:25" ht="15">
      <c r="V733" s="144">
        <f t="shared" si="125"/>
        <v>727</v>
      </c>
      <c r="W733" s="184">
        <f t="shared" si="126"/>
        <v>0</v>
      </c>
      <c r="X733" s="184">
        <f t="shared" si="127"/>
        <v>0</v>
      </c>
      <c r="Y733" s="184">
        <f t="shared" si="128"/>
        <v>0</v>
      </c>
    </row>
    <row r="734" spans="22:25" ht="15">
      <c r="V734" s="144">
        <f t="shared" si="125"/>
        <v>728</v>
      </c>
      <c r="W734" s="184">
        <f t="shared" si="126"/>
        <v>0</v>
      </c>
      <c r="X734" s="184">
        <f t="shared" si="127"/>
        <v>0</v>
      </c>
      <c r="Y734" s="184">
        <f t="shared" si="128"/>
        <v>0</v>
      </c>
    </row>
    <row r="735" spans="22:25" ht="15">
      <c r="V735" s="144">
        <f t="shared" si="125"/>
        <v>729</v>
      </c>
      <c r="W735" s="184">
        <f t="shared" si="126"/>
        <v>0</v>
      </c>
      <c r="X735" s="184">
        <f t="shared" si="127"/>
        <v>0</v>
      </c>
      <c r="Y735" s="184">
        <f t="shared" si="128"/>
        <v>0</v>
      </c>
    </row>
    <row r="736" spans="22:25" ht="15">
      <c r="V736" s="144">
        <f t="shared" si="125"/>
        <v>730</v>
      </c>
      <c r="W736" s="184">
        <f t="shared" si="126"/>
        <v>0</v>
      </c>
      <c r="X736" s="184">
        <f t="shared" si="127"/>
        <v>0</v>
      </c>
      <c r="Y736" s="184">
        <f t="shared" si="128"/>
        <v>0</v>
      </c>
    </row>
    <row r="737" spans="22:25" ht="15">
      <c r="V737" s="144">
        <f t="shared" si="125"/>
        <v>731</v>
      </c>
      <c r="W737" s="184">
        <f t="shared" si="126"/>
        <v>0</v>
      </c>
      <c r="X737" s="184">
        <f t="shared" si="127"/>
        <v>0</v>
      </c>
      <c r="Y737" s="184">
        <f t="shared" si="128"/>
        <v>0</v>
      </c>
    </row>
    <row r="738" spans="22:25" ht="15">
      <c r="V738" s="144">
        <f t="shared" si="125"/>
        <v>732</v>
      </c>
      <c r="W738" s="184">
        <f t="shared" si="126"/>
        <v>0</v>
      </c>
      <c r="X738" s="184">
        <f t="shared" si="127"/>
        <v>0</v>
      </c>
      <c r="Y738" s="184">
        <f t="shared" si="128"/>
        <v>0</v>
      </c>
    </row>
    <row r="739" spans="22:25" ht="15">
      <c r="V739" s="144">
        <f t="shared" si="125"/>
        <v>733</v>
      </c>
      <c r="W739" s="184">
        <f t="shared" si="126"/>
        <v>0</v>
      </c>
      <c r="X739" s="184">
        <f t="shared" si="127"/>
        <v>0</v>
      </c>
      <c r="Y739" s="184">
        <f t="shared" si="128"/>
        <v>0</v>
      </c>
    </row>
    <row r="740" spans="22:25" ht="15">
      <c r="V740" s="144">
        <f t="shared" si="125"/>
        <v>734</v>
      </c>
      <c r="W740" s="184">
        <f t="shared" si="126"/>
        <v>0</v>
      </c>
      <c r="X740" s="184">
        <f t="shared" si="127"/>
        <v>0</v>
      </c>
      <c r="Y740" s="184">
        <f t="shared" si="128"/>
        <v>0</v>
      </c>
    </row>
    <row r="741" spans="22:25" ht="15">
      <c r="V741" s="144">
        <f t="shared" si="125"/>
        <v>735</v>
      </c>
      <c r="W741" s="184">
        <f t="shared" si="126"/>
        <v>0</v>
      </c>
      <c r="X741" s="184">
        <f t="shared" si="127"/>
        <v>0</v>
      </c>
      <c r="Y741" s="184">
        <f t="shared" si="128"/>
        <v>0</v>
      </c>
    </row>
    <row r="742" spans="22:25" ht="15">
      <c r="V742" s="144">
        <f t="shared" si="125"/>
        <v>736</v>
      </c>
      <c r="W742" s="184">
        <f t="shared" si="126"/>
        <v>0</v>
      </c>
      <c r="X742" s="184">
        <f t="shared" si="127"/>
        <v>0</v>
      </c>
      <c r="Y742" s="184">
        <f t="shared" si="128"/>
        <v>0</v>
      </c>
    </row>
    <row r="743" spans="22:25" ht="15">
      <c r="V743" s="144">
        <f t="shared" si="125"/>
        <v>737</v>
      </c>
      <c r="W743" s="184">
        <f t="shared" si="126"/>
        <v>0</v>
      </c>
      <c r="X743" s="184">
        <f t="shared" si="127"/>
        <v>0</v>
      </c>
      <c r="Y743" s="184">
        <f t="shared" si="128"/>
        <v>0</v>
      </c>
    </row>
    <row r="744" spans="22:25" ht="15">
      <c r="V744" s="144">
        <f t="shared" si="125"/>
        <v>738</v>
      </c>
      <c r="W744" s="184">
        <f t="shared" si="126"/>
        <v>0</v>
      </c>
      <c r="X744" s="184">
        <f t="shared" si="127"/>
        <v>0</v>
      </c>
      <c r="Y744" s="184">
        <f t="shared" si="128"/>
        <v>0</v>
      </c>
    </row>
    <row r="745" spans="22:25" ht="15">
      <c r="V745" s="144">
        <f t="shared" si="125"/>
        <v>739</v>
      </c>
      <c r="W745" s="184">
        <f t="shared" si="126"/>
        <v>0</v>
      </c>
      <c r="X745" s="184">
        <f t="shared" si="127"/>
        <v>0</v>
      </c>
      <c r="Y745" s="184">
        <f t="shared" si="128"/>
        <v>0</v>
      </c>
    </row>
    <row r="746" spans="22:25" ht="15">
      <c r="V746" s="144">
        <f t="shared" si="125"/>
        <v>740</v>
      </c>
      <c r="W746" s="184">
        <f t="shared" si="126"/>
        <v>0</v>
      </c>
      <c r="X746" s="184">
        <f t="shared" si="127"/>
        <v>0</v>
      </c>
      <c r="Y746" s="184">
        <f t="shared" si="128"/>
        <v>0</v>
      </c>
    </row>
    <row r="747" spans="22:25" ht="15">
      <c r="V747" s="144">
        <f t="shared" si="125"/>
        <v>741</v>
      </c>
      <c r="W747" s="184">
        <f t="shared" si="126"/>
        <v>0</v>
      </c>
      <c r="X747" s="184">
        <f t="shared" si="127"/>
        <v>0</v>
      </c>
      <c r="Y747" s="184">
        <f t="shared" si="128"/>
        <v>0</v>
      </c>
    </row>
    <row r="748" spans="22:25" ht="15">
      <c r="V748" s="144">
        <f t="shared" si="125"/>
        <v>742</v>
      </c>
      <c r="W748" s="184">
        <f t="shared" si="126"/>
        <v>0</v>
      </c>
      <c r="X748" s="184">
        <f t="shared" si="127"/>
        <v>0</v>
      </c>
      <c r="Y748" s="184">
        <f t="shared" si="128"/>
        <v>0</v>
      </c>
    </row>
    <row r="749" spans="22:25" ht="15">
      <c r="V749" s="144">
        <f t="shared" si="125"/>
        <v>743</v>
      </c>
      <c r="W749" s="184">
        <f t="shared" si="126"/>
        <v>0</v>
      </c>
      <c r="X749" s="184">
        <f t="shared" si="127"/>
        <v>0</v>
      </c>
      <c r="Y749" s="184">
        <f t="shared" si="128"/>
        <v>0</v>
      </c>
    </row>
    <row r="750" spans="22:25" ht="15">
      <c r="V750" s="144">
        <f t="shared" si="125"/>
        <v>744</v>
      </c>
      <c r="W750" s="184">
        <f t="shared" si="126"/>
        <v>0</v>
      </c>
      <c r="X750" s="184">
        <f t="shared" si="127"/>
        <v>0</v>
      </c>
      <c r="Y750" s="184">
        <f t="shared" si="128"/>
        <v>0</v>
      </c>
    </row>
    <row r="751" spans="22:25" ht="15">
      <c r="V751" s="144">
        <f t="shared" si="125"/>
        <v>745</v>
      </c>
      <c r="W751" s="184">
        <f t="shared" si="126"/>
        <v>0</v>
      </c>
      <c r="X751" s="184">
        <f t="shared" si="127"/>
        <v>0</v>
      </c>
      <c r="Y751" s="184">
        <f t="shared" si="128"/>
        <v>0</v>
      </c>
    </row>
    <row r="752" spans="22:25" ht="15">
      <c r="V752" s="144">
        <f t="shared" si="125"/>
        <v>746</v>
      </c>
      <c r="W752" s="184">
        <f t="shared" si="126"/>
        <v>0</v>
      </c>
      <c r="X752" s="184">
        <f t="shared" si="127"/>
        <v>0</v>
      </c>
      <c r="Y752" s="184">
        <f t="shared" si="128"/>
        <v>0</v>
      </c>
    </row>
    <row r="753" spans="22:25" ht="15">
      <c r="V753" s="144">
        <f t="shared" si="125"/>
        <v>747</v>
      </c>
      <c r="W753" s="184">
        <f t="shared" si="126"/>
        <v>0</v>
      </c>
      <c r="X753" s="184">
        <f t="shared" si="127"/>
        <v>0</v>
      </c>
      <c r="Y753" s="184">
        <f t="shared" si="128"/>
        <v>0</v>
      </c>
    </row>
    <row r="754" spans="22:25" ht="15">
      <c r="V754" s="144">
        <f t="shared" si="125"/>
        <v>748</v>
      </c>
      <c r="W754" s="184">
        <f t="shared" si="126"/>
        <v>0</v>
      </c>
      <c r="X754" s="184">
        <f t="shared" si="127"/>
        <v>0</v>
      </c>
      <c r="Y754" s="184">
        <f t="shared" si="128"/>
        <v>0</v>
      </c>
    </row>
    <row r="755" spans="22:25" ht="15">
      <c r="V755" s="144">
        <f t="shared" si="125"/>
        <v>749</v>
      </c>
      <c r="W755" s="184">
        <f t="shared" si="126"/>
        <v>0</v>
      </c>
      <c r="X755" s="184">
        <f t="shared" si="127"/>
        <v>0</v>
      </c>
      <c r="Y755" s="184">
        <f t="shared" si="128"/>
        <v>0</v>
      </c>
    </row>
    <row r="756" spans="22:25" ht="15">
      <c r="V756" s="144">
        <f t="shared" si="125"/>
        <v>750</v>
      </c>
      <c r="W756" s="184">
        <f t="shared" si="126"/>
        <v>0</v>
      </c>
      <c r="X756" s="184">
        <f t="shared" si="127"/>
        <v>0</v>
      </c>
      <c r="Y756" s="184">
        <f t="shared" si="128"/>
        <v>0</v>
      </c>
    </row>
    <row r="757" spans="22:25" ht="15">
      <c r="V757" s="144">
        <f t="shared" si="125"/>
        <v>751</v>
      </c>
      <c r="W757" s="184">
        <f t="shared" si="126"/>
        <v>0</v>
      </c>
      <c r="X757" s="184">
        <f t="shared" si="127"/>
        <v>0</v>
      </c>
      <c r="Y757" s="184">
        <f t="shared" si="128"/>
        <v>0</v>
      </c>
    </row>
    <row r="758" spans="22:25" ht="15">
      <c r="V758" s="144">
        <f t="shared" si="125"/>
        <v>752</v>
      </c>
      <c r="W758" s="184">
        <f t="shared" si="126"/>
        <v>0</v>
      </c>
      <c r="X758" s="184">
        <f t="shared" si="127"/>
        <v>0</v>
      </c>
      <c r="Y758" s="184">
        <f t="shared" si="128"/>
        <v>0</v>
      </c>
    </row>
    <row r="759" spans="22:25" ht="15">
      <c r="V759" s="144">
        <f t="shared" si="125"/>
        <v>753</v>
      </c>
      <c r="W759" s="184">
        <f t="shared" si="126"/>
        <v>0</v>
      </c>
      <c r="X759" s="184">
        <f t="shared" si="127"/>
        <v>0</v>
      </c>
      <c r="Y759" s="184">
        <f t="shared" si="128"/>
        <v>0</v>
      </c>
    </row>
    <row r="760" spans="22:25" ht="15">
      <c r="V760" s="144">
        <f t="shared" si="125"/>
        <v>754</v>
      </c>
      <c r="W760" s="184">
        <f t="shared" si="126"/>
        <v>0</v>
      </c>
      <c r="X760" s="184">
        <f t="shared" si="127"/>
        <v>0</v>
      </c>
      <c r="Y760" s="184">
        <f t="shared" si="128"/>
        <v>0</v>
      </c>
    </row>
    <row r="761" spans="22:25" ht="15">
      <c r="V761" s="144">
        <f t="shared" si="125"/>
        <v>755</v>
      </c>
      <c r="W761" s="184">
        <f t="shared" si="126"/>
        <v>0</v>
      </c>
      <c r="X761" s="184">
        <f t="shared" si="127"/>
        <v>0</v>
      </c>
      <c r="Y761" s="184">
        <f t="shared" si="128"/>
        <v>0</v>
      </c>
    </row>
    <row r="762" spans="22:25" ht="15">
      <c r="V762" s="144">
        <f t="shared" si="125"/>
        <v>756</v>
      </c>
      <c r="W762" s="184">
        <f t="shared" si="126"/>
        <v>0</v>
      </c>
      <c r="X762" s="184">
        <f t="shared" si="127"/>
        <v>0</v>
      </c>
      <c r="Y762" s="184">
        <f t="shared" si="128"/>
        <v>0</v>
      </c>
    </row>
    <row r="763" spans="22:25" ht="15">
      <c r="V763" s="144">
        <f t="shared" si="125"/>
        <v>757</v>
      </c>
      <c r="W763" s="184">
        <f t="shared" si="126"/>
        <v>0</v>
      </c>
      <c r="X763" s="184">
        <f t="shared" si="127"/>
        <v>0</v>
      </c>
      <c r="Y763" s="184">
        <f t="shared" si="128"/>
        <v>0</v>
      </c>
    </row>
    <row r="764" spans="22:25" ht="15">
      <c r="V764" s="144">
        <f t="shared" si="125"/>
        <v>758</v>
      </c>
      <c r="W764" s="184">
        <f t="shared" si="126"/>
        <v>0</v>
      </c>
      <c r="X764" s="184">
        <f t="shared" si="127"/>
        <v>0</v>
      </c>
      <c r="Y764" s="184">
        <f t="shared" si="128"/>
        <v>0</v>
      </c>
    </row>
    <row r="765" spans="22:25" ht="15">
      <c r="V765" s="144">
        <f t="shared" si="125"/>
        <v>759</v>
      </c>
      <c r="W765" s="184">
        <f t="shared" si="126"/>
        <v>0</v>
      </c>
      <c r="X765" s="184">
        <f t="shared" si="127"/>
        <v>0</v>
      </c>
      <c r="Y765" s="184">
        <f t="shared" si="128"/>
        <v>0</v>
      </c>
    </row>
    <row r="766" spans="22:25" ht="15">
      <c r="V766" s="144">
        <f t="shared" si="125"/>
        <v>760</v>
      </c>
      <c r="W766" s="184">
        <f t="shared" si="126"/>
        <v>0</v>
      </c>
      <c r="X766" s="184">
        <f t="shared" si="127"/>
        <v>0</v>
      </c>
      <c r="Y766" s="184">
        <f t="shared" si="128"/>
        <v>0</v>
      </c>
    </row>
    <row r="767" spans="22:25" ht="15">
      <c r="V767" s="144">
        <f t="shared" si="125"/>
        <v>761</v>
      </c>
      <c r="W767" s="184">
        <f t="shared" si="126"/>
        <v>0</v>
      </c>
      <c r="X767" s="184">
        <f t="shared" si="127"/>
        <v>0</v>
      </c>
      <c r="Y767" s="184">
        <f t="shared" si="128"/>
        <v>0</v>
      </c>
    </row>
    <row r="768" spans="22:25" ht="15">
      <c r="V768" s="144">
        <f t="shared" si="125"/>
        <v>762</v>
      </c>
      <c r="W768" s="184">
        <f t="shared" si="126"/>
        <v>0</v>
      </c>
      <c r="X768" s="184">
        <f t="shared" si="127"/>
        <v>0</v>
      </c>
      <c r="Y768" s="184">
        <f t="shared" si="128"/>
        <v>0</v>
      </c>
    </row>
    <row r="769" spans="22:25" ht="15">
      <c r="V769" s="144">
        <f t="shared" si="125"/>
        <v>763</v>
      </c>
      <c r="W769" s="184">
        <f t="shared" si="126"/>
        <v>0</v>
      </c>
      <c r="X769" s="184">
        <f t="shared" si="127"/>
        <v>0</v>
      </c>
      <c r="Y769" s="184">
        <f t="shared" si="128"/>
        <v>0</v>
      </c>
    </row>
    <row r="770" spans="22:25" ht="15">
      <c r="V770" s="144">
        <f t="shared" si="125"/>
        <v>764</v>
      </c>
      <c r="W770" s="184">
        <f t="shared" si="126"/>
        <v>0</v>
      </c>
      <c r="X770" s="184">
        <f t="shared" si="127"/>
        <v>0</v>
      </c>
      <c r="Y770" s="184">
        <f t="shared" si="128"/>
        <v>0</v>
      </c>
    </row>
    <row r="771" spans="22:25" ht="15">
      <c r="V771" s="144">
        <f t="shared" si="125"/>
        <v>765</v>
      </c>
      <c r="W771" s="184">
        <f t="shared" si="126"/>
        <v>0</v>
      </c>
      <c r="X771" s="184">
        <f t="shared" si="127"/>
        <v>0</v>
      </c>
      <c r="Y771" s="184">
        <f t="shared" si="128"/>
        <v>0</v>
      </c>
    </row>
    <row r="772" spans="22:25" ht="15">
      <c r="V772" s="144">
        <f t="shared" si="125"/>
        <v>766</v>
      </c>
      <c r="W772" s="184">
        <f t="shared" si="126"/>
        <v>0</v>
      </c>
      <c r="X772" s="184">
        <f t="shared" si="127"/>
        <v>0</v>
      </c>
      <c r="Y772" s="184">
        <f t="shared" si="128"/>
        <v>0</v>
      </c>
    </row>
    <row r="773" spans="22:25" ht="15">
      <c r="V773" s="144">
        <f t="shared" si="125"/>
        <v>767</v>
      </c>
      <c r="W773" s="184">
        <f t="shared" si="126"/>
        <v>0</v>
      </c>
      <c r="X773" s="184">
        <f t="shared" si="127"/>
        <v>0</v>
      </c>
      <c r="Y773" s="184">
        <f t="shared" si="128"/>
        <v>0</v>
      </c>
    </row>
    <row r="774" spans="22:25" ht="15">
      <c r="V774" s="144">
        <f t="shared" si="125"/>
        <v>768</v>
      </c>
      <c r="W774" s="184">
        <f t="shared" si="126"/>
        <v>0</v>
      </c>
      <c r="X774" s="184">
        <f t="shared" si="127"/>
        <v>0</v>
      </c>
      <c r="Y774" s="184">
        <f t="shared" si="128"/>
        <v>0</v>
      </c>
    </row>
    <row r="775" spans="22:25" ht="15">
      <c r="V775" s="144">
        <f t="shared" si="125"/>
        <v>769</v>
      </c>
      <c r="W775" s="184">
        <f t="shared" si="126"/>
        <v>0</v>
      </c>
      <c r="X775" s="184">
        <f t="shared" si="127"/>
        <v>0</v>
      </c>
      <c r="Y775" s="184">
        <f t="shared" si="128"/>
        <v>0</v>
      </c>
    </row>
    <row r="776" spans="22:25" ht="15">
      <c r="V776" s="144">
        <f t="shared" si="125"/>
        <v>770</v>
      </c>
      <c r="W776" s="184">
        <f t="shared" si="126"/>
        <v>0</v>
      </c>
      <c r="X776" s="184">
        <f t="shared" si="127"/>
        <v>0</v>
      </c>
      <c r="Y776" s="184">
        <f t="shared" si="128"/>
        <v>0</v>
      </c>
    </row>
    <row r="777" spans="22:25" ht="15">
      <c r="V777" s="144">
        <f aca="true" t="shared" si="129" ref="V777:V840">1+V776</f>
        <v>771</v>
      </c>
      <c r="W777" s="184">
        <f aca="true" t="shared" si="130" ref="W777:W840">IF($V777&lt;12*$Q$17,W776+$Q$16*POWER(1+$Q$15/12,-($V777-1)),0)</f>
        <v>0</v>
      </c>
      <c r="X777" s="184">
        <f aca="true" t="shared" si="131" ref="X777:X840">IF($V777&lt;12*$Q$18,X776+$Q$16*POWER(1+$Q$15/12,-($V777-1)),0)</f>
        <v>0</v>
      </c>
      <c r="Y777" s="184">
        <f aca="true" t="shared" si="132" ref="Y777:Y840">IF(AND($V777&lt;12*$Q$17,$V777&lt;12*$Q$18),Y776+($Q$16/2)*POWER(1+$Q$15/12,-($V777-1)),0)</f>
        <v>0</v>
      </c>
    </row>
    <row r="778" spans="22:25" ht="15">
      <c r="V778" s="144">
        <f t="shared" si="129"/>
        <v>772</v>
      </c>
      <c r="W778" s="184">
        <f t="shared" si="130"/>
        <v>0</v>
      </c>
      <c r="X778" s="184">
        <f t="shared" si="131"/>
        <v>0</v>
      </c>
      <c r="Y778" s="184">
        <f t="shared" si="132"/>
        <v>0</v>
      </c>
    </row>
    <row r="779" spans="22:25" ht="15">
      <c r="V779" s="144">
        <f t="shared" si="129"/>
        <v>773</v>
      </c>
      <c r="W779" s="184">
        <f t="shared" si="130"/>
        <v>0</v>
      </c>
      <c r="X779" s="184">
        <f t="shared" si="131"/>
        <v>0</v>
      </c>
      <c r="Y779" s="184">
        <f t="shared" si="132"/>
        <v>0</v>
      </c>
    </row>
    <row r="780" spans="22:25" ht="15">
      <c r="V780" s="144">
        <f t="shared" si="129"/>
        <v>774</v>
      </c>
      <c r="W780" s="184">
        <f t="shared" si="130"/>
        <v>0</v>
      </c>
      <c r="X780" s="184">
        <f t="shared" si="131"/>
        <v>0</v>
      </c>
      <c r="Y780" s="184">
        <f t="shared" si="132"/>
        <v>0</v>
      </c>
    </row>
    <row r="781" spans="22:25" ht="15">
      <c r="V781" s="144">
        <f t="shared" si="129"/>
        <v>775</v>
      </c>
      <c r="W781" s="184">
        <f t="shared" si="130"/>
        <v>0</v>
      </c>
      <c r="X781" s="184">
        <f t="shared" si="131"/>
        <v>0</v>
      </c>
      <c r="Y781" s="184">
        <f t="shared" si="132"/>
        <v>0</v>
      </c>
    </row>
    <row r="782" spans="22:25" ht="15">
      <c r="V782" s="144">
        <f t="shared" si="129"/>
        <v>776</v>
      </c>
      <c r="W782" s="184">
        <f t="shared" si="130"/>
        <v>0</v>
      </c>
      <c r="X782" s="184">
        <f t="shared" si="131"/>
        <v>0</v>
      </c>
      <c r="Y782" s="184">
        <f t="shared" si="132"/>
        <v>0</v>
      </c>
    </row>
    <row r="783" spans="22:25" ht="15">
      <c r="V783" s="144">
        <f t="shared" si="129"/>
        <v>777</v>
      </c>
      <c r="W783" s="184">
        <f t="shared" si="130"/>
        <v>0</v>
      </c>
      <c r="X783" s="184">
        <f t="shared" si="131"/>
        <v>0</v>
      </c>
      <c r="Y783" s="184">
        <f t="shared" si="132"/>
        <v>0</v>
      </c>
    </row>
    <row r="784" spans="22:25" ht="15">
      <c r="V784" s="144">
        <f t="shared" si="129"/>
        <v>778</v>
      </c>
      <c r="W784" s="184">
        <f t="shared" si="130"/>
        <v>0</v>
      </c>
      <c r="X784" s="184">
        <f t="shared" si="131"/>
        <v>0</v>
      </c>
      <c r="Y784" s="184">
        <f t="shared" si="132"/>
        <v>0</v>
      </c>
    </row>
    <row r="785" spans="22:25" ht="15">
      <c r="V785" s="144">
        <f t="shared" si="129"/>
        <v>779</v>
      </c>
      <c r="W785" s="184">
        <f t="shared" si="130"/>
        <v>0</v>
      </c>
      <c r="X785" s="184">
        <f t="shared" si="131"/>
        <v>0</v>
      </c>
      <c r="Y785" s="184">
        <f t="shared" si="132"/>
        <v>0</v>
      </c>
    </row>
    <row r="786" spans="22:25" ht="15">
      <c r="V786" s="144">
        <f t="shared" si="129"/>
        <v>780</v>
      </c>
      <c r="W786" s="184">
        <f t="shared" si="130"/>
        <v>0</v>
      </c>
      <c r="X786" s="184">
        <f t="shared" si="131"/>
        <v>0</v>
      </c>
      <c r="Y786" s="184">
        <f t="shared" si="132"/>
        <v>0</v>
      </c>
    </row>
    <row r="787" spans="22:25" ht="15">
      <c r="V787" s="144">
        <f t="shared" si="129"/>
        <v>781</v>
      </c>
      <c r="W787" s="184">
        <f t="shared" si="130"/>
        <v>0</v>
      </c>
      <c r="X787" s="184">
        <f t="shared" si="131"/>
        <v>0</v>
      </c>
      <c r="Y787" s="184">
        <f t="shared" si="132"/>
        <v>0</v>
      </c>
    </row>
    <row r="788" spans="22:25" ht="15">
      <c r="V788" s="144">
        <f t="shared" si="129"/>
        <v>782</v>
      </c>
      <c r="W788" s="184">
        <f t="shared" si="130"/>
        <v>0</v>
      </c>
      <c r="X788" s="184">
        <f t="shared" si="131"/>
        <v>0</v>
      </c>
      <c r="Y788" s="184">
        <f t="shared" si="132"/>
        <v>0</v>
      </c>
    </row>
    <row r="789" spans="22:25" ht="15">
      <c r="V789" s="144">
        <f t="shared" si="129"/>
        <v>783</v>
      </c>
      <c r="W789" s="184">
        <f t="shared" si="130"/>
        <v>0</v>
      </c>
      <c r="X789" s="184">
        <f t="shared" si="131"/>
        <v>0</v>
      </c>
      <c r="Y789" s="184">
        <f t="shared" si="132"/>
        <v>0</v>
      </c>
    </row>
    <row r="790" spans="22:25" ht="15">
      <c r="V790" s="144">
        <f t="shared" si="129"/>
        <v>784</v>
      </c>
      <c r="W790" s="184">
        <f t="shared" si="130"/>
        <v>0</v>
      </c>
      <c r="X790" s="184">
        <f t="shared" si="131"/>
        <v>0</v>
      </c>
      <c r="Y790" s="184">
        <f t="shared" si="132"/>
        <v>0</v>
      </c>
    </row>
    <row r="791" spans="22:25" ht="15">
      <c r="V791" s="144">
        <f t="shared" si="129"/>
        <v>785</v>
      </c>
      <c r="W791" s="184">
        <f t="shared" si="130"/>
        <v>0</v>
      </c>
      <c r="X791" s="184">
        <f t="shared" si="131"/>
        <v>0</v>
      </c>
      <c r="Y791" s="184">
        <f t="shared" si="132"/>
        <v>0</v>
      </c>
    </row>
    <row r="792" spans="22:25" ht="15">
      <c r="V792" s="144">
        <f t="shared" si="129"/>
        <v>786</v>
      </c>
      <c r="W792" s="184">
        <f t="shared" si="130"/>
        <v>0</v>
      </c>
      <c r="X792" s="184">
        <f t="shared" si="131"/>
        <v>0</v>
      </c>
      <c r="Y792" s="184">
        <f t="shared" si="132"/>
        <v>0</v>
      </c>
    </row>
    <row r="793" spans="22:25" ht="15">
      <c r="V793" s="144">
        <f t="shared" si="129"/>
        <v>787</v>
      </c>
      <c r="W793" s="184">
        <f t="shared" si="130"/>
        <v>0</v>
      </c>
      <c r="X793" s="184">
        <f t="shared" si="131"/>
        <v>0</v>
      </c>
      <c r="Y793" s="184">
        <f t="shared" si="132"/>
        <v>0</v>
      </c>
    </row>
    <row r="794" spans="22:25" ht="15">
      <c r="V794" s="144">
        <f t="shared" si="129"/>
        <v>788</v>
      </c>
      <c r="W794" s="184">
        <f t="shared" si="130"/>
        <v>0</v>
      </c>
      <c r="X794" s="184">
        <f t="shared" si="131"/>
        <v>0</v>
      </c>
      <c r="Y794" s="184">
        <f t="shared" si="132"/>
        <v>0</v>
      </c>
    </row>
    <row r="795" spans="22:25" ht="15">
      <c r="V795" s="144">
        <f t="shared" si="129"/>
        <v>789</v>
      </c>
      <c r="W795" s="184">
        <f t="shared" si="130"/>
        <v>0</v>
      </c>
      <c r="X795" s="184">
        <f t="shared" si="131"/>
        <v>0</v>
      </c>
      <c r="Y795" s="184">
        <f t="shared" si="132"/>
        <v>0</v>
      </c>
    </row>
    <row r="796" spans="22:25" ht="15">
      <c r="V796" s="144">
        <f t="shared" si="129"/>
        <v>790</v>
      </c>
      <c r="W796" s="184">
        <f t="shared" si="130"/>
        <v>0</v>
      </c>
      <c r="X796" s="184">
        <f t="shared" si="131"/>
        <v>0</v>
      </c>
      <c r="Y796" s="184">
        <f t="shared" si="132"/>
        <v>0</v>
      </c>
    </row>
    <row r="797" spans="22:25" ht="15">
      <c r="V797" s="144">
        <f t="shared" si="129"/>
        <v>791</v>
      </c>
      <c r="W797" s="184">
        <f t="shared" si="130"/>
        <v>0</v>
      </c>
      <c r="X797" s="184">
        <f t="shared" si="131"/>
        <v>0</v>
      </c>
      <c r="Y797" s="184">
        <f t="shared" si="132"/>
        <v>0</v>
      </c>
    </row>
    <row r="798" spans="22:25" ht="15">
      <c r="V798" s="144">
        <f t="shared" si="129"/>
        <v>792</v>
      </c>
      <c r="W798" s="184">
        <f t="shared" si="130"/>
        <v>0</v>
      </c>
      <c r="X798" s="184">
        <f t="shared" si="131"/>
        <v>0</v>
      </c>
      <c r="Y798" s="184">
        <f t="shared" si="132"/>
        <v>0</v>
      </c>
    </row>
    <row r="799" spans="22:25" ht="15">
      <c r="V799" s="144">
        <f t="shared" si="129"/>
        <v>793</v>
      </c>
      <c r="W799" s="184">
        <f t="shared" si="130"/>
        <v>0</v>
      </c>
      <c r="X799" s="184">
        <f t="shared" si="131"/>
        <v>0</v>
      </c>
      <c r="Y799" s="184">
        <f t="shared" si="132"/>
        <v>0</v>
      </c>
    </row>
    <row r="800" spans="22:25" ht="15">
      <c r="V800" s="144">
        <f t="shared" si="129"/>
        <v>794</v>
      </c>
      <c r="W800" s="184">
        <f t="shared" si="130"/>
        <v>0</v>
      </c>
      <c r="X800" s="184">
        <f t="shared" si="131"/>
        <v>0</v>
      </c>
      <c r="Y800" s="184">
        <f t="shared" si="132"/>
        <v>0</v>
      </c>
    </row>
    <row r="801" spans="22:25" ht="15">
      <c r="V801" s="144">
        <f t="shared" si="129"/>
        <v>795</v>
      </c>
      <c r="W801" s="184">
        <f t="shared" si="130"/>
        <v>0</v>
      </c>
      <c r="X801" s="184">
        <f t="shared" si="131"/>
        <v>0</v>
      </c>
      <c r="Y801" s="184">
        <f t="shared" si="132"/>
        <v>0</v>
      </c>
    </row>
    <row r="802" spans="22:25" ht="15">
      <c r="V802" s="144">
        <f t="shared" si="129"/>
        <v>796</v>
      </c>
      <c r="W802" s="184">
        <f t="shared" si="130"/>
        <v>0</v>
      </c>
      <c r="X802" s="184">
        <f t="shared" si="131"/>
        <v>0</v>
      </c>
      <c r="Y802" s="184">
        <f t="shared" si="132"/>
        <v>0</v>
      </c>
    </row>
    <row r="803" spans="22:25" ht="15">
      <c r="V803" s="144">
        <f t="shared" si="129"/>
        <v>797</v>
      </c>
      <c r="W803" s="184">
        <f t="shared" si="130"/>
        <v>0</v>
      </c>
      <c r="X803" s="184">
        <f t="shared" si="131"/>
        <v>0</v>
      </c>
      <c r="Y803" s="184">
        <f t="shared" si="132"/>
        <v>0</v>
      </c>
    </row>
    <row r="804" spans="22:25" ht="15">
      <c r="V804" s="144">
        <f t="shared" si="129"/>
        <v>798</v>
      </c>
      <c r="W804" s="184">
        <f t="shared" si="130"/>
        <v>0</v>
      </c>
      <c r="X804" s="184">
        <f t="shared" si="131"/>
        <v>0</v>
      </c>
      <c r="Y804" s="184">
        <f t="shared" si="132"/>
        <v>0</v>
      </c>
    </row>
    <row r="805" spans="22:25" ht="15">
      <c r="V805" s="144">
        <f t="shared" si="129"/>
        <v>799</v>
      </c>
      <c r="W805" s="184">
        <f t="shared" si="130"/>
        <v>0</v>
      </c>
      <c r="X805" s="184">
        <f t="shared" si="131"/>
        <v>0</v>
      </c>
      <c r="Y805" s="184">
        <f t="shared" si="132"/>
        <v>0</v>
      </c>
    </row>
    <row r="806" spans="22:25" ht="15">
      <c r="V806" s="144">
        <f t="shared" si="129"/>
        <v>800</v>
      </c>
      <c r="W806" s="184">
        <f t="shared" si="130"/>
        <v>0</v>
      </c>
      <c r="X806" s="184">
        <f t="shared" si="131"/>
        <v>0</v>
      </c>
      <c r="Y806" s="184">
        <f t="shared" si="132"/>
        <v>0</v>
      </c>
    </row>
    <row r="807" spans="22:25" ht="15">
      <c r="V807" s="144">
        <f t="shared" si="129"/>
        <v>801</v>
      </c>
      <c r="W807" s="184">
        <f t="shared" si="130"/>
        <v>0</v>
      </c>
      <c r="X807" s="184">
        <f t="shared" si="131"/>
        <v>0</v>
      </c>
      <c r="Y807" s="184">
        <f t="shared" si="132"/>
        <v>0</v>
      </c>
    </row>
    <row r="808" spans="22:25" ht="15">
      <c r="V808" s="144">
        <f t="shared" si="129"/>
        <v>802</v>
      </c>
      <c r="W808" s="184">
        <f t="shared" si="130"/>
        <v>0</v>
      </c>
      <c r="X808" s="184">
        <f t="shared" si="131"/>
        <v>0</v>
      </c>
      <c r="Y808" s="184">
        <f t="shared" si="132"/>
        <v>0</v>
      </c>
    </row>
    <row r="809" spans="22:25" ht="15">
      <c r="V809" s="144">
        <f t="shared" si="129"/>
        <v>803</v>
      </c>
      <c r="W809" s="184">
        <f t="shared" si="130"/>
        <v>0</v>
      </c>
      <c r="X809" s="184">
        <f t="shared" si="131"/>
        <v>0</v>
      </c>
      <c r="Y809" s="184">
        <f t="shared" si="132"/>
        <v>0</v>
      </c>
    </row>
    <row r="810" spans="22:25" ht="15">
      <c r="V810" s="144">
        <f t="shared" si="129"/>
        <v>804</v>
      </c>
      <c r="W810" s="184">
        <f t="shared" si="130"/>
        <v>0</v>
      </c>
      <c r="X810" s="184">
        <f t="shared" si="131"/>
        <v>0</v>
      </c>
      <c r="Y810" s="184">
        <f t="shared" si="132"/>
        <v>0</v>
      </c>
    </row>
    <row r="811" spans="22:25" ht="15">
      <c r="V811" s="144">
        <f t="shared" si="129"/>
        <v>805</v>
      </c>
      <c r="W811" s="184">
        <f t="shared" si="130"/>
        <v>0</v>
      </c>
      <c r="X811" s="184">
        <f t="shared" si="131"/>
        <v>0</v>
      </c>
      <c r="Y811" s="184">
        <f t="shared" si="132"/>
        <v>0</v>
      </c>
    </row>
    <row r="812" spans="22:25" ht="15">
      <c r="V812" s="144">
        <f t="shared" si="129"/>
        <v>806</v>
      </c>
      <c r="W812" s="184">
        <f t="shared" si="130"/>
        <v>0</v>
      </c>
      <c r="X812" s="184">
        <f t="shared" si="131"/>
        <v>0</v>
      </c>
      <c r="Y812" s="184">
        <f t="shared" si="132"/>
        <v>0</v>
      </c>
    </row>
    <row r="813" spans="22:25" ht="15">
      <c r="V813" s="144">
        <f t="shared" si="129"/>
        <v>807</v>
      </c>
      <c r="W813" s="184">
        <f t="shared" si="130"/>
        <v>0</v>
      </c>
      <c r="X813" s="184">
        <f t="shared" si="131"/>
        <v>0</v>
      </c>
      <c r="Y813" s="184">
        <f t="shared" si="132"/>
        <v>0</v>
      </c>
    </row>
    <row r="814" spans="22:25" ht="15">
      <c r="V814" s="144">
        <f t="shared" si="129"/>
        <v>808</v>
      </c>
      <c r="W814" s="184">
        <f t="shared" si="130"/>
        <v>0</v>
      </c>
      <c r="X814" s="184">
        <f t="shared" si="131"/>
        <v>0</v>
      </c>
      <c r="Y814" s="184">
        <f t="shared" si="132"/>
        <v>0</v>
      </c>
    </row>
    <row r="815" spans="22:25" ht="15">
      <c r="V815" s="144">
        <f t="shared" si="129"/>
        <v>809</v>
      </c>
      <c r="W815" s="184">
        <f t="shared" si="130"/>
        <v>0</v>
      </c>
      <c r="X815" s="184">
        <f t="shared" si="131"/>
        <v>0</v>
      </c>
      <c r="Y815" s="184">
        <f t="shared" si="132"/>
        <v>0</v>
      </c>
    </row>
    <row r="816" spans="22:25" ht="15">
      <c r="V816" s="144">
        <f t="shared" si="129"/>
        <v>810</v>
      </c>
      <c r="W816" s="184">
        <f t="shared" si="130"/>
        <v>0</v>
      </c>
      <c r="X816" s="184">
        <f t="shared" si="131"/>
        <v>0</v>
      </c>
      <c r="Y816" s="184">
        <f t="shared" si="132"/>
        <v>0</v>
      </c>
    </row>
    <row r="817" spans="22:25" ht="15">
      <c r="V817" s="144">
        <f t="shared" si="129"/>
        <v>811</v>
      </c>
      <c r="W817" s="184">
        <f t="shared" si="130"/>
        <v>0</v>
      </c>
      <c r="X817" s="184">
        <f t="shared" si="131"/>
        <v>0</v>
      </c>
      <c r="Y817" s="184">
        <f t="shared" si="132"/>
        <v>0</v>
      </c>
    </row>
    <row r="818" spans="22:25" ht="15">
      <c r="V818" s="144">
        <f t="shared" si="129"/>
        <v>812</v>
      </c>
      <c r="W818" s="184">
        <f t="shared" si="130"/>
        <v>0</v>
      </c>
      <c r="X818" s="184">
        <f t="shared" si="131"/>
        <v>0</v>
      </c>
      <c r="Y818" s="184">
        <f t="shared" si="132"/>
        <v>0</v>
      </c>
    </row>
    <row r="819" spans="22:25" ht="15">
      <c r="V819" s="144">
        <f t="shared" si="129"/>
        <v>813</v>
      </c>
      <c r="W819" s="184">
        <f t="shared" si="130"/>
        <v>0</v>
      </c>
      <c r="X819" s="184">
        <f t="shared" si="131"/>
        <v>0</v>
      </c>
      <c r="Y819" s="184">
        <f t="shared" si="132"/>
        <v>0</v>
      </c>
    </row>
    <row r="820" spans="22:25" ht="15">
      <c r="V820" s="144">
        <f t="shared" si="129"/>
        <v>814</v>
      </c>
      <c r="W820" s="184">
        <f t="shared" si="130"/>
        <v>0</v>
      </c>
      <c r="X820" s="184">
        <f t="shared" si="131"/>
        <v>0</v>
      </c>
      <c r="Y820" s="184">
        <f t="shared" si="132"/>
        <v>0</v>
      </c>
    </row>
    <row r="821" spans="22:25" ht="15">
      <c r="V821" s="144">
        <f t="shared" si="129"/>
        <v>815</v>
      </c>
      <c r="W821" s="184">
        <f t="shared" si="130"/>
        <v>0</v>
      </c>
      <c r="X821" s="184">
        <f t="shared" si="131"/>
        <v>0</v>
      </c>
      <c r="Y821" s="184">
        <f t="shared" si="132"/>
        <v>0</v>
      </c>
    </row>
    <row r="822" spans="22:25" ht="15">
      <c r="V822" s="144">
        <f t="shared" si="129"/>
        <v>816</v>
      </c>
      <c r="W822" s="184">
        <f t="shared" si="130"/>
        <v>0</v>
      </c>
      <c r="X822" s="184">
        <f t="shared" si="131"/>
        <v>0</v>
      </c>
      <c r="Y822" s="184">
        <f t="shared" si="132"/>
        <v>0</v>
      </c>
    </row>
    <row r="823" spans="22:25" ht="15">
      <c r="V823" s="144">
        <f t="shared" si="129"/>
        <v>817</v>
      </c>
      <c r="W823" s="184">
        <f t="shared" si="130"/>
        <v>0</v>
      </c>
      <c r="X823" s="184">
        <f t="shared" si="131"/>
        <v>0</v>
      </c>
      <c r="Y823" s="184">
        <f t="shared" si="132"/>
        <v>0</v>
      </c>
    </row>
    <row r="824" spans="22:25" ht="15">
      <c r="V824" s="144">
        <f t="shared" si="129"/>
        <v>818</v>
      </c>
      <c r="W824" s="184">
        <f t="shared" si="130"/>
        <v>0</v>
      </c>
      <c r="X824" s="184">
        <f t="shared" si="131"/>
        <v>0</v>
      </c>
      <c r="Y824" s="184">
        <f t="shared" si="132"/>
        <v>0</v>
      </c>
    </row>
    <row r="825" spans="22:25" ht="15">
      <c r="V825" s="144">
        <f t="shared" si="129"/>
        <v>819</v>
      </c>
      <c r="W825" s="184">
        <f t="shared" si="130"/>
        <v>0</v>
      </c>
      <c r="X825" s="184">
        <f t="shared" si="131"/>
        <v>0</v>
      </c>
      <c r="Y825" s="184">
        <f t="shared" si="132"/>
        <v>0</v>
      </c>
    </row>
    <row r="826" spans="22:25" ht="15">
      <c r="V826" s="144">
        <f t="shared" si="129"/>
        <v>820</v>
      </c>
      <c r="W826" s="184">
        <f t="shared" si="130"/>
        <v>0</v>
      </c>
      <c r="X826" s="184">
        <f t="shared" si="131"/>
        <v>0</v>
      </c>
      <c r="Y826" s="184">
        <f t="shared" si="132"/>
        <v>0</v>
      </c>
    </row>
    <row r="827" spans="22:25" ht="15">
      <c r="V827" s="144">
        <f t="shared" si="129"/>
        <v>821</v>
      </c>
      <c r="W827" s="184">
        <f t="shared" si="130"/>
        <v>0</v>
      </c>
      <c r="X827" s="184">
        <f t="shared" si="131"/>
        <v>0</v>
      </c>
      <c r="Y827" s="184">
        <f t="shared" si="132"/>
        <v>0</v>
      </c>
    </row>
    <row r="828" spans="22:25" ht="15">
      <c r="V828" s="144">
        <f t="shared" si="129"/>
        <v>822</v>
      </c>
      <c r="W828" s="184">
        <f t="shared" si="130"/>
        <v>0</v>
      </c>
      <c r="X828" s="184">
        <f t="shared" si="131"/>
        <v>0</v>
      </c>
      <c r="Y828" s="184">
        <f t="shared" si="132"/>
        <v>0</v>
      </c>
    </row>
    <row r="829" spans="22:25" ht="15">
      <c r="V829" s="144">
        <f t="shared" si="129"/>
        <v>823</v>
      </c>
      <c r="W829" s="184">
        <f t="shared" si="130"/>
        <v>0</v>
      </c>
      <c r="X829" s="184">
        <f t="shared" si="131"/>
        <v>0</v>
      </c>
      <c r="Y829" s="184">
        <f t="shared" si="132"/>
        <v>0</v>
      </c>
    </row>
    <row r="830" spans="22:25" ht="15">
      <c r="V830" s="144">
        <f t="shared" si="129"/>
        <v>824</v>
      </c>
      <c r="W830" s="184">
        <f t="shared" si="130"/>
        <v>0</v>
      </c>
      <c r="X830" s="184">
        <f t="shared" si="131"/>
        <v>0</v>
      </c>
      <c r="Y830" s="184">
        <f t="shared" si="132"/>
        <v>0</v>
      </c>
    </row>
    <row r="831" spans="22:25" ht="15">
      <c r="V831" s="144">
        <f t="shared" si="129"/>
        <v>825</v>
      </c>
      <c r="W831" s="184">
        <f t="shared" si="130"/>
        <v>0</v>
      </c>
      <c r="X831" s="184">
        <f t="shared" si="131"/>
        <v>0</v>
      </c>
      <c r="Y831" s="184">
        <f t="shared" si="132"/>
        <v>0</v>
      </c>
    </row>
    <row r="832" spans="22:25" ht="15">
      <c r="V832" s="144">
        <f t="shared" si="129"/>
        <v>826</v>
      </c>
      <c r="W832" s="184">
        <f t="shared" si="130"/>
        <v>0</v>
      </c>
      <c r="X832" s="184">
        <f t="shared" si="131"/>
        <v>0</v>
      </c>
      <c r="Y832" s="184">
        <f t="shared" si="132"/>
        <v>0</v>
      </c>
    </row>
    <row r="833" spans="22:25" ht="15">
      <c r="V833" s="144">
        <f t="shared" si="129"/>
        <v>827</v>
      </c>
      <c r="W833" s="184">
        <f t="shared" si="130"/>
        <v>0</v>
      </c>
      <c r="X833" s="184">
        <f t="shared" si="131"/>
        <v>0</v>
      </c>
      <c r="Y833" s="184">
        <f t="shared" si="132"/>
        <v>0</v>
      </c>
    </row>
    <row r="834" spans="22:25" ht="15">
      <c r="V834" s="144">
        <f t="shared" si="129"/>
        <v>828</v>
      </c>
      <c r="W834" s="184">
        <f t="shared" si="130"/>
        <v>0</v>
      </c>
      <c r="X834" s="184">
        <f t="shared" si="131"/>
        <v>0</v>
      </c>
      <c r="Y834" s="184">
        <f t="shared" si="132"/>
        <v>0</v>
      </c>
    </row>
    <row r="835" spans="22:25" ht="15">
      <c r="V835" s="144">
        <f t="shared" si="129"/>
        <v>829</v>
      </c>
      <c r="W835" s="184">
        <f t="shared" si="130"/>
        <v>0</v>
      </c>
      <c r="X835" s="184">
        <f t="shared" si="131"/>
        <v>0</v>
      </c>
      <c r="Y835" s="184">
        <f t="shared" si="132"/>
        <v>0</v>
      </c>
    </row>
    <row r="836" spans="22:25" ht="15">
      <c r="V836" s="144">
        <f t="shared" si="129"/>
        <v>830</v>
      </c>
      <c r="W836" s="184">
        <f t="shared" si="130"/>
        <v>0</v>
      </c>
      <c r="X836" s="184">
        <f t="shared" si="131"/>
        <v>0</v>
      </c>
      <c r="Y836" s="184">
        <f t="shared" si="132"/>
        <v>0</v>
      </c>
    </row>
    <row r="837" spans="22:25" ht="15">
      <c r="V837" s="144">
        <f t="shared" si="129"/>
        <v>831</v>
      </c>
      <c r="W837" s="184">
        <f t="shared" si="130"/>
        <v>0</v>
      </c>
      <c r="X837" s="184">
        <f t="shared" si="131"/>
        <v>0</v>
      </c>
      <c r="Y837" s="184">
        <f t="shared" si="132"/>
        <v>0</v>
      </c>
    </row>
    <row r="838" spans="22:25" ht="15">
      <c r="V838" s="144">
        <f t="shared" si="129"/>
        <v>832</v>
      </c>
      <c r="W838" s="184">
        <f t="shared" si="130"/>
        <v>0</v>
      </c>
      <c r="X838" s="184">
        <f t="shared" si="131"/>
        <v>0</v>
      </c>
      <c r="Y838" s="184">
        <f t="shared" si="132"/>
        <v>0</v>
      </c>
    </row>
    <row r="839" spans="22:25" ht="15">
      <c r="V839" s="144">
        <f t="shared" si="129"/>
        <v>833</v>
      </c>
      <c r="W839" s="184">
        <f t="shared" si="130"/>
        <v>0</v>
      </c>
      <c r="X839" s="184">
        <f t="shared" si="131"/>
        <v>0</v>
      </c>
      <c r="Y839" s="184">
        <f t="shared" si="132"/>
        <v>0</v>
      </c>
    </row>
    <row r="840" spans="22:25" ht="15">
      <c r="V840" s="144">
        <f t="shared" si="129"/>
        <v>834</v>
      </c>
      <c r="W840" s="184">
        <f t="shared" si="130"/>
        <v>0</v>
      </c>
      <c r="X840" s="184">
        <f t="shared" si="131"/>
        <v>0</v>
      </c>
      <c r="Y840" s="184">
        <f t="shared" si="132"/>
        <v>0</v>
      </c>
    </row>
    <row r="841" spans="22:25" ht="15">
      <c r="V841" s="144">
        <f aca="true" t="shared" si="133" ref="V841:V846">1+V840</f>
        <v>835</v>
      </c>
      <c r="W841" s="184">
        <f aca="true" t="shared" si="134" ref="W841:W846">IF($V841&lt;12*$Q$17,W840+$Q$16*POWER(1+$Q$15/12,-($V841-1)),0)</f>
        <v>0</v>
      </c>
      <c r="X841" s="184">
        <f aca="true" t="shared" si="135" ref="X841:X846">IF($V841&lt;12*$Q$18,X840+$Q$16*POWER(1+$Q$15/12,-($V841-1)),0)</f>
        <v>0</v>
      </c>
      <c r="Y841" s="184">
        <f aca="true" t="shared" si="136" ref="Y841:Y846">IF(AND($V841&lt;12*$Q$17,$V841&lt;12*$Q$18),Y840+($Q$16/2)*POWER(1+$Q$15/12,-($V841-1)),0)</f>
        <v>0</v>
      </c>
    </row>
    <row r="842" spans="22:25" ht="15">
      <c r="V842" s="144">
        <f t="shared" si="133"/>
        <v>836</v>
      </c>
      <c r="W842" s="184">
        <f t="shared" si="134"/>
        <v>0</v>
      </c>
      <c r="X842" s="184">
        <f t="shared" si="135"/>
        <v>0</v>
      </c>
      <c r="Y842" s="184">
        <f t="shared" si="136"/>
        <v>0</v>
      </c>
    </row>
    <row r="843" spans="22:25" ht="15">
      <c r="V843" s="144">
        <f t="shared" si="133"/>
        <v>837</v>
      </c>
      <c r="W843" s="184">
        <f t="shared" si="134"/>
        <v>0</v>
      </c>
      <c r="X843" s="184">
        <f t="shared" si="135"/>
        <v>0</v>
      </c>
      <c r="Y843" s="184">
        <f t="shared" si="136"/>
        <v>0</v>
      </c>
    </row>
    <row r="844" spans="22:25" ht="15">
      <c r="V844" s="144">
        <f t="shared" si="133"/>
        <v>838</v>
      </c>
      <c r="W844" s="184">
        <f t="shared" si="134"/>
        <v>0</v>
      </c>
      <c r="X844" s="184">
        <f t="shared" si="135"/>
        <v>0</v>
      </c>
      <c r="Y844" s="184">
        <f t="shared" si="136"/>
        <v>0</v>
      </c>
    </row>
    <row r="845" spans="22:25" ht="15">
      <c r="V845" s="144">
        <f t="shared" si="133"/>
        <v>839</v>
      </c>
      <c r="W845" s="184">
        <f t="shared" si="134"/>
        <v>0</v>
      </c>
      <c r="X845" s="184">
        <f t="shared" si="135"/>
        <v>0</v>
      </c>
      <c r="Y845" s="184">
        <f t="shared" si="136"/>
        <v>0</v>
      </c>
    </row>
    <row r="846" spans="22:25" ht="15.75" thickBot="1">
      <c r="V846" s="145">
        <f t="shared" si="133"/>
        <v>840</v>
      </c>
      <c r="W846" s="184">
        <f t="shared" si="134"/>
        <v>0</v>
      </c>
      <c r="X846" s="184">
        <f t="shared" si="135"/>
        <v>0</v>
      </c>
      <c r="Y846" s="184">
        <f t="shared" si="136"/>
        <v>0</v>
      </c>
    </row>
    <row r="847" ht="15"/>
    <row r="848" ht="15" hidden="1"/>
    <row r="849" ht="15" hidden="1"/>
  </sheetData>
  <sheetProtection sheet="1" objects="1" scenarios="1" formatCells="0" formatColumns="0" formatRows="0" autoFilter="0"/>
  <autoFilter ref="U29:U846"/>
  <mergeCells count="45">
    <mergeCell ref="B25:M26"/>
    <mergeCell ref="B5:M13"/>
    <mergeCell ref="G17:H17"/>
    <mergeCell ref="G14:H14"/>
    <mergeCell ref="G16:H16"/>
    <mergeCell ref="G15:H15"/>
    <mergeCell ref="B14:E14"/>
    <mergeCell ref="B27:B28"/>
    <mergeCell ref="C27:C28"/>
    <mergeCell ref="D27:D28"/>
    <mergeCell ref="E27:E28"/>
    <mergeCell ref="F27:F28"/>
    <mergeCell ref="G27:G28"/>
    <mergeCell ref="V5:V6"/>
    <mergeCell ref="X5:X6"/>
    <mergeCell ref="Y5:Y6"/>
    <mergeCell ref="W5:W6"/>
    <mergeCell ref="V3:Y4"/>
    <mergeCell ref="T27:T28"/>
    <mergeCell ref="H27:H28"/>
    <mergeCell ref="I27:I28"/>
    <mergeCell ref="N5:U13"/>
    <mergeCell ref="N19:U19"/>
    <mergeCell ref="T15:U15"/>
    <mergeCell ref="T16:U16"/>
    <mergeCell ref="T17:U17"/>
    <mergeCell ref="T18:U18"/>
    <mergeCell ref="T14:U14"/>
    <mergeCell ref="I19:M19"/>
    <mergeCell ref="R14:S14"/>
    <mergeCell ref="R15:S15"/>
    <mergeCell ref="R16:S16"/>
    <mergeCell ref="R17:S17"/>
    <mergeCell ref="R18:S18"/>
    <mergeCell ref="N20:U23"/>
    <mergeCell ref="B3:M4"/>
    <mergeCell ref="N3:U4"/>
    <mergeCell ref="O27:S27"/>
    <mergeCell ref="N25:U26"/>
    <mergeCell ref="U27:U28"/>
    <mergeCell ref="J27:J28"/>
    <mergeCell ref="K27:K28"/>
    <mergeCell ref="L27:L28"/>
    <mergeCell ref="M27:M28"/>
    <mergeCell ref="N27:N2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W153"/>
  <sheetViews>
    <sheetView showGridLines="0" zoomScale="85" zoomScaleNormal="85" zoomScalePageLayoutView="0" workbookViewId="0" topLeftCell="AK79">
      <selection activeCell="J1" sqref="J1"/>
    </sheetView>
  </sheetViews>
  <sheetFormatPr defaultColWidth="9.6640625" defaultRowHeight="15" zeroHeight="1"/>
  <cols>
    <col min="1" max="1" width="9.6640625" style="2" customWidth="1"/>
    <col min="2" max="11" width="9.6640625" style="0" customWidth="1"/>
    <col min="12" max="12" width="9.6640625" style="2" customWidth="1"/>
    <col min="13" max="23" width="9.6640625" style="0" customWidth="1"/>
    <col min="24" max="24" width="9.6640625" style="2" customWidth="1"/>
    <col min="25" max="25" width="9.6640625" style="0" customWidth="1"/>
    <col min="26" max="26" width="11.6640625" style="0" customWidth="1"/>
    <col min="27" max="38" width="9.6640625" style="0" customWidth="1"/>
    <col min="39" max="39" width="14.77734375" style="0" customWidth="1"/>
    <col min="40" max="40" width="9.6640625" style="0" customWidth="1"/>
    <col min="41" max="41" width="12.4453125" style="0" customWidth="1"/>
    <col min="42" max="42" width="14.3359375" style="0" customWidth="1"/>
    <col min="43" max="43" width="10.88671875" style="0" customWidth="1"/>
    <col min="44" max="44" width="11.5546875" style="0" customWidth="1"/>
    <col min="45" max="45" width="9.6640625" style="0" customWidth="1"/>
    <col min="46" max="46" width="13.99609375" style="113" customWidth="1"/>
    <col min="47" max="47" width="9.6640625" style="113" customWidth="1"/>
  </cols>
  <sheetData>
    <row r="1" spans="25:47" s="2" customFormat="1" ht="15">
      <c r="Y1" s="1"/>
      <c r="Z1" s="1"/>
      <c r="AA1" s="1"/>
      <c r="AB1" s="1"/>
      <c r="AC1" s="1"/>
      <c r="AD1" s="1"/>
      <c r="AE1"/>
      <c r="AF1"/>
      <c r="AG1"/>
      <c r="AH1"/>
      <c r="AT1" s="113"/>
      <c r="AU1" s="113"/>
    </row>
    <row r="2" spans="2:30" ht="15.75" thickBot="1">
      <c r="B2" s="4"/>
      <c r="C2" s="410" t="s">
        <v>14</v>
      </c>
      <c r="D2" s="410"/>
      <c r="E2" s="410"/>
      <c r="F2" s="410"/>
      <c r="G2" s="410"/>
      <c r="H2" s="410"/>
      <c r="I2" s="410"/>
      <c r="J2" s="410"/>
      <c r="K2" s="1"/>
      <c r="L2" s="1"/>
      <c r="M2" s="412" t="s">
        <v>15</v>
      </c>
      <c r="N2" s="412"/>
      <c r="O2" s="412"/>
      <c r="P2" s="412"/>
      <c r="Q2" s="412"/>
      <c r="R2" s="412"/>
      <c r="S2" s="412"/>
      <c r="T2" s="412"/>
      <c r="U2" s="1"/>
      <c r="X2" s="1"/>
      <c r="Y2" s="1"/>
      <c r="Z2" s="1"/>
      <c r="AA2" s="1"/>
      <c r="AB2" s="1"/>
      <c r="AC2" s="1"/>
      <c r="AD2" s="1"/>
    </row>
    <row r="3" spans="2:24" ht="15.75" thickTop="1">
      <c r="B3" s="25"/>
      <c r="C3" s="402" t="s">
        <v>14</v>
      </c>
      <c r="D3" s="402"/>
      <c r="E3" s="402"/>
      <c r="F3" s="402"/>
      <c r="G3" s="402"/>
      <c r="H3" s="402"/>
      <c r="I3" s="402"/>
      <c r="J3" s="402"/>
      <c r="K3" s="1"/>
      <c r="L3" s="1"/>
      <c r="M3" s="211"/>
      <c r="N3" s="411" t="s">
        <v>20</v>
      </c>
      <c r="O3" s="411"/>
      <c r="P3" s="411"/>
      <c r="Q3" s="411"/>
      <c r="R3" s="411"/>
      <c r="S3" s="411"/>
      <c r="T3" s="212"/>
      <c r="U3" s="213"/>
      <c r="V3" s="214" t="s">
        <v>100</v>
      </c>
      <c r="W3" s="36" t="s">
        <v>101</v>
      </c>
      <c r="X3" s="1"/>
    </row>
    <row r="4" spans="2:47" ht="45">
      <c r="B4" s="403" t="s">
        <v>16</v>
      </c>
      <c r="C4" s="201"/>
      <c r="D4" s="406" t="s">
        <v>17</v>
      </c>
      <c r="E4" s="407"/>
      <c r="F4" s="407"/>
      <c r="G4" s="407"/>
      <c r="H4" s="407"/>
      <c r="I4" s="407"/>
      <c r="J4" s="408"/>
      <c r="K4" s="5"/>
      <c r="L4" s="1"/>
      <c r="M4" s="215" t="s">
        <v>0</v>
      </c>
      <c r="N4" s="216" t="s">
        <v>21</v>
      </c>
      <c r="O4" s="216" t="s">
        <v>22</v>
      </c>
      <c r="P4" s="216" t="s">
        <v>23</v>
      </c>
      <c r="Q4" s="215" t="s">
        <v>0</v>
      </c>
      <c r="R4" s="216" t="s">
        <v>21</v>
      </c>
      <c r="S4" s="216" t="s">
        <v>22</v>
      </c>
      <c r="T4" s="216" t="s">
        <v>23</v>
      </c>
      <c r="U4" s="213"/>
      <c r="V4" s="272" t="s">
        <v>0</v>
      </c>
      <c r="W4" s="273" t="s">
        <v>99</v>
      </c>
      <c r="X4" s="1"/>
      <c r="Y4" s="415" t="s">
        <v>24</v>
      </c>
      <c r="Z4" s="416"/>
      <c r="AA4" s="200" t="s">
        <v>25</v>
      </c>
      <c r="AB4" s="200" t="s">
        <v>26</v>
      </c>
      <c r="AC4" s="200" t="s">
        <v>27</v>
      </c>
      <c r="AD4" s="200" t="s">
        <v>4</v>
      </c>
      <c r="AE4" s="200" t="s">
        <v>5</v>
      </c>
      <c r="AK4" s="114"/>
      <c r="AL4" s="80"/>
      <c r="AM4" s="114"/>
      <c r="AN4" s="114"/>
      <c r="AO4" s="114"/>
      <c r="AP4" s="114"/>
      <c r="AQ4" s="114"/>
      <c r="AR4" s="114"/>
      <c r="AS4" s="114"/>
      <c r="AT4" s="79"/>
      <c r="AU4" s="114"/>
    </row>
    <row r="5" spans="2:47" ht="17.25">
      <c r="B5" s="404"/>
      <c r="C5" s="202"/>
      <c r="D5" s="406" t="s">
        <v>18</v>
      </c>
      <c r="E5" s="407"/>
      <c r="F5" s="408"/>
      <c r="G5" s="203"/>
      <c r="H5" s="406" t="s">
        <v>19</v>
      </c>
      <c r="I5" s="407"/>
      <c r="J5" s="408"/>
      <c r="K5" s="5"/>
      <c r="L5" s="1"/>
      <c r="M5" s="216">
        <v>1937</v>
      </c>
      <c r="N5" s="217">
        <v>3000</v>
      </c>
      <c r="O5" s="218">
        <v>0.02</v>
      </c>
      <c r="P5" s="216" t="s">
        <v>28</v>
      </c>
      <c r="Q5" s="219">
        <v>1977</v>
      </c>
      <c r="R5" s="217">
        <v>16500</v>
      </c>
      <c r="S5" s="220">
        <v>0.099</v>
      </c>
      <c r="T5" s="220">
        <v>0.018</v>
      </c>
      <c r="U5" s="213"/>
      <c r="V5" s="274">
        <v>1937</v>
      </c>
      <c r="W5" s="259">
        <v>1060.5234623845752</v>
      </c>
      <c r="X5" s="1"/>
      <c r="Y5" s="417" t="s">
        <v>29</v>
      </c>
      <c r="Z5" s="418"/>
      <c r="AA5" s="15">
        <v>5.3</v>
      </c>
      <c r="AB5" s="15">
        <v>0.9</v>
      </c>
      <c r="AC5" s="15">
        <v>6.2</v>
      </c>
      <c r="AD5" s="15">
        <v>1.45</v>
      </c>
      <c r="AE5" s="15">
        <v>7.65</v>
      </c>
      <c r="AK5" s="114"/>
      <c r="AL5" s="198" t="s">
        <v>137</v>
      </c>
      <c r="AM5" s="114"/>
      <c r="AN5" s="114"/>
      <c r="AO5" s="114"/>
      <c r="AP5" s="114"/>
      <c r="AQ5" s="114"/>
      <c r="AR5" s="114"/>
      <c r="AS5" s="114"/>
      <c r="AT5" s="79"/>
      <c r="AU5" s="114"/>
    </row>
    <row r="6" spans="2:45" ht="15">
      <c r="B6" s="405"/>
      <c r="C6" s="204" t="s">
        <v>0</v>
      </c>
      <c r="D6" s="205" t="s">
        <v>2</v>
      </c>
      <c r="E6" s="205" t="s">
        <v>3</v>
      </c>
      <c r="F6" s="206" t="s">
        <v>5</v>
      </c>
      <c r="G6" s="206"/>
      <c r="H6" s="205" t="s">
        <v>2</v>
      </c>
      <c r="I6" s="205" t="s">
        <v>3</v>
      </c>
      <c r="J6" s="206" t="s">
        <v>5</v>
      </c>
      <c r="K6" s="1"/>
      <c r="L6" s="1"/>
      <c r="M6" s="216">
        <v>1938</v>
      </c>
      <c r="N6" s="217">
        <v>3000</v>
      </c>
      <c r="O6" s="218">
        <v>0.02</v>
      </c>
      <c r="P6" s="216" t="s">
        <v>28</v>
      </c>
      <c r="Q6" s="219">
        <v>1978</v>
      </c>
      <c r="R6" s="217">
        <v>17700</v>
      </c>
      <c r="S6" s="220">
        <v>0.101</v>
      </c>
      <c r="T6" s="220">
        <v>0.02</v>
      </c>
      <c r="U6" s="213"/>
      <c r="V6" s="274">
        <f>V5+1</f>
        <v>1938</v>
      </c>
      <c r="W6" s="259">
        <v>956.9548806230778</v>
      </c>
      <c r="X6" s="1"/>
      <c r="Y6" s="417" t="s">
        <v>30</v>
      </c>
      <c r="Z6" s="418"/>
      <c r="AA6" s="15">
        <v>5.3</v>
      </c>
      <c r="AB6" s="15">
        <v>0.9</v>
      </c>
      <c r="AC6" s="15">
        <v>6.2</v>
      </c>
      <c r="AD6" s="15">
        <v>1.45</v>
      </c>
      <c r="AE6" s="15">
        <v>7.65</v>
      </c>
      <c r="AK6" s="114"/>
      <c r="AL6" s="80"/>
      <c r="AM6" s="114"/>
      <c r="AN6" s="114"/>
      <c r="AO6" s="114"/>
      <c r="AP6" s="114"/>
      <c r="AQ6" s="114"/>
      <c r="AR6" s="114"/>
      <c r="AS6" s="114"/>
    </row>
    <row r="7" spans="2:49" ht="15" customHeight="1">
      <c r="B7" s="207" t="s">
        <v>7</v>
      </c>
      <c r="C7" s="207">
        <v>1937</v>
      </c>
      <c r="D7" s="208">
        <v>1</v>
      </c>
      <c r="E7" s="208" t="s">
        <v>8</v>
      </c>
      <c r="F7" s="209">
        <v>1</v>
      </c>
      <c r="G7" s="209"/>
      <c r="H7" s="208" t="s">
        <v>8</v>
      </c>
      <c r="I7" s="208" t="s">
        <v>8</v>
      </c>
      <c r="J7" s="209" t="s">
        <v>8</v>
      </c>
      <c r="K7" s="6"/>
      <c r="L7" s="1"/>
      <c r="M7" s="216">
        <v>1939</v>
      </c>
      <c r="N7" s="217">
        <v>3000</v>
      </c>
      <c r="O7" s="218">
        <v>0.02</v>
      </c>
      <c r="P7" s="216" t="s">
        <v>28</v>
      </c>
      <c r="Q7" s="219">
        <v>1979</v>
      </c>
      <c r="R7" s="217">
        <v>22900</v>
      </c>
      <c r="S7" s="222">
        <v>0.1016</v>
      </c>
      <c r="T7" s="220">
        <v>0.021</v>
      </c>
      <c r="U7" s="223"/>
      <c r="V7" s="274">
        <f aca="true" t="shared" si="0" ref="V7:V70">V6+1</f>
        <v>1939</v>
      </c>
      <c r="W7" s="259">
        <v>1005.3156109169205</v>
      </c>
      <c r="Y7" s="417" t="s">
        <v>31</v>
      </c>
      <c r="Z7" s="418"/>
      <c r="AA7" s="15">
        <v>10.6</v>
      </c>
      <c r="AB7" s="15">
        <v>1.8</v>
      </c>
      <c r="AC7" s="15">
        <v>12.4</v>
      </c>
      <c r="AD7" s="15">
        <v>2.9</v>
      </c>
      <c r="AE7" s="16">
        <v>15.3</v>
      </c>
      <c r="AK7" s="114"/>
      <c r="AL7" s="368" t="s">
        <v>138</v>
      </c>
      <c r="AM7" s="368"/>
      <c r="AN7" s="368"/>
      <c r="AO7" s="368"/>
      <c r="AP7" s="368"/>
      <c r="AQ7" s="368"/>
      <c r="AR7" s="368"/>
      <c r="AS7" s="114"/>
      <c r="AT7" s="265" t="s">
        <v>162</v>
      </c>
      <c r="AU7" s="366" t="s">
        <v>161</v>
      </c>
      <c r="AV7" s="366"/>
      <c r="AW7" s="367"/>
    </row>
    <row r="8" spans="2:47" ht="15">
      <c r="B8" s="207" t="s">
        <v>7</v>
      </c>
      <c r="C8" s="207">
        <v>1938</v>
      </c>
      <c r="D8" s="208">
        <v>1</v>
      </c>
      <c r="E8" s="208" t="s">
        <v>8</v>
      </c>
      <c r="F8" s="209">
        <v>1</v>
      </c>
      <c r="G8" s="209"/>
      <c r="H8" s="208" t="s">
        <v>8</v>
      </c>
      <c r="I8" s="208" t="s">
        <v>8</v>
      </c>
      <c r="J8" s="209" t="s">
        <v>8</v>
      </c>
      <c r="K8" s="6"/>
      <c r="L8" s="1"/>
      <c r="M8" s="216">
        <v>1940</v>
      </c>
      <c r="N8" s="217">
        <v>3000</v>
      </c>
      <c r="O8" s="218">
        <v>0.02</v>
      </c>
      <c r="P8" s="216" t="s">
        <v>28</v>
      </c>
      <c r="Q8" s="219">
        <v>1980</v>
      </c>
      <c r="R8" s="217">
        <v>25900</v>
      </c>
      <c r="S8" s="222">
        <v>0.1016</v>
      </c>
      <c r="T8" s="220">
        <v>0.021</v>
      </c>
      <c r="U8" s="223"/>
      <c r="V8" s="274">
        <f t="shared" si="0"/>
        <v>1940</v>
      </c>
      <c r="W8" s="259">
        <v>1063.1182701567013</v>
      </c>
      <c r="Y8" s="199" t="s">
        <v>190</v>
      </c>
      <c r="AK8" s="114"/>
      <c r="AL8" s="368"/>
      <c r="AM8" s="368"/>
      <c r="AN8" s="368"/>
      <c r="AO8" s="368"/>
      <c r="AP8" s="368"/>
      <c r="AQ8" s="368"/>
      <c r="AR8" s="368"/>
      <c r="AS8" s="114"/>
      <c r="AT8" s="80" t="s">
        <v>163</v>
      </c>
      <c r="AU8" s="80">
        <v>65</v>
      </c>
    </row>
    <row r="9" spans="2:47" ht="15">
      <c r="B9" s="207" t="s">
        <v>7</v>
      </c>
      <c r="C9" s="207">
        <v>1939</v>
      </c>
      <c r="D9" s="208">
        <v>1</v>
      </c>
      <c r="E9" s="208" t="s">
        <v>8</v>
      </c>
      <c r="F9" s="209">
        <v>1</v>
      </c>
      <c r="G9" s="209"/>
      <c r="H9" s="208" t="s">
        <v>8</v>
      </c>
      <c r="I9" s="208" t="s">
        <v>8</v>
      </c>
      <c r="J9" s="209" t="s">
        <v>8</v>
      </c>
      <c r="K9" s="6"/>
      <c r="L9" s="1"/>
      <c r="M9" s="216">
        <v>1941</v>
      </c>
      <c r="N9" s="217">
        <v>3000</v>
      </c>
      <c r="O9" s="218">
        <v>0.02</v>
      </c>
      <c r="P9" s="216" t="s">
        <v>28</v>
      </c>
      <c r="Q9" s="219">
        <v>1981</v>
      </c>
      <c r="R9" s="217">
        <v>29700</v>
      </c>
      <c r="S9" s="220">
        <v>0.107</v>
      </c>
      <c r="T9" s="220">
        <v>0.026</v>
      </c>
      <c r="U9" s="223"/>
      <c r="V9" s="274">
        <f t="shared" si="0"/>
        <v>1941</v>
      </c>
      <c r="W9" s="259">
        <v>1304.7004459404802</v>
      </c>
      <c r="Y9" s="2"/>
      <c r="Z9" s="2"/>
      <c r="AA9" s="2"/>
      <c r="AB9" s="2"/>
      <c r="AC9" s="2"/>
      <c r="AD9" s="2"/>
      <c r="AE9" s="2"/>
      <c r="AK9" s="114"/>
      <c r="AL9" s="368"/>
      <c r="AM9" s="368"/>
      <c r="AN9" s="368"/>
      <c r="AO9" s="368"/>
      <c r="AP9" s="368"/>
      <c r="AQ9" s="368"/>
      <c r="AR9" s="368"/>
      <c r="AS9" s="114"/>
      <c r="AT9" s="80">
        <v>1938</v>
      </c>
      <c r="AU9" s="80" t="s">
        <v>164</v>
      </c>
    </row>
    <row r="10" spans="1:47" ht="18" thickBot="1">
      <c r="A10" s="78"/>
      <c r="B10" s="207" t="s">
        <v>7</v>
      </c>
      <c r="C10" s="207">
        <v>1940</v>
      </c>
      <c r="D10" s="208">
        <v>1</v>
      </c>
      <c r="E10" s="208" t="s">
        <v>8</v>
      </c>
      <c r="F10" s="209">
        <v>1</v>
      </c>
      <c r="G10" s="209"/>
      <c r="H10" s="208" t="s">
        <v>8</v>
      </c>
      <c r="I10" s="208" t="s">
        <v>8</v>
      </c>
      <c r="J10" s="209" t="s">
        <v>8</v>
      </c>
      <c r="K10" s="6"/>
      <c r="L10" s="1"/>
      <c r="M10" s="216">
        <v>1942</v>
      </c>
      <c r="N10" s="217">
        <v>3000</v>
      </c>
      <c r="O10" s="218">
        <v>0.02</v>
      </c>
      <c r="P10" s="216" t="s">
        <v>28</v>
      </c>
      <c r="Q10" s="219">
        <v>1982</v>
      </c>
      <c r="R10" s="217">
        <v>32400</v>
      </c>
      <c r="S10" s="220">
        <v>0.108</v>
      </c>
      <c r="T10" s="220">
        <v>0.026</v>
      </c>
      <c r="U10" s="223"/>
      <c r="V10" s="274">
        <f t="shared" si="0"/>
        <v>1942</v>
      </c>
      <c r="W10" s="259">
        <v>1677.976021871585</v>
      </c>
      <c r="Y10" t="s">
        <v>80</v>
      </c>
      <c r="AF10" s="141" t="s">
        <v>180</v>
      </c>
      <c r="AK10" s="114"/>
      <c r="AL10" s="368"/>
      <c r="AM10" s="368"/>
      <c r="AN10" s="368"/>
      <c r="AO10" s="368"/>
      <c r="AP10" s="368"/>
      <c r="AQ10" s="368"/>
      <c r="AR10" s="368"/>
      <c r="AS10" s="114"/>
      <c r="AT10" s="80">
        <v>1939</v>
      </c>
      <c r="AU10" s="80" t="s">
        <v>165</v>
      </c>
    </row>
    <row r="11" spans="2:47" ht="30" thickBot="1">
      <c r="B11" s="207" t="s">
        <v>7</v>
      </c>
      <c r="C11" s="207">
        <v>1941</v>
      </c>
      <c r="D11" s="208">
        <v>1</v>
      </c>
      <c r="E11" s="208" t="s">
        <v>8</v>
      </c>
      <c r="F11" s="209">
        <v>1</v>
      </c>
      <c r="G11" s="209"/>
      <c r="H11" s="208" t="s">
        <v>8</v>
      </c>
      <c r="I11" s="208" t="s">
        <v>8</v>
      </c>
      <c r="J11" s="209" t="s">
        <v>8</v>
      </c>
      <c r="K11" s="6"/>
      <c r="L11" s="1"/>
      <c r="M11" s="216">
        <v>1943</v>
      </c>
      <c r="N11" s="217">
        <v>3000</v>
      </c>
      <c r="O11" s="218">
        <v>0.02</v>
      </c>
      <c r="P11" s="216" t="s">
        <v>28</v>
      </c>
      <c r="Q11" s="219">
        <v>1983</v>
      </c>
      <c r="R11" s="217">
        <v>35700</v>
      </c>
      <c r="S11" s="220">
        <v>0.108</v>
      </c>
      <c r="T11" s="220">
        <v>0.026</v>
      </c>
      <c r="U11" s="213"/>
      <c r="V11" s="274">
        <f t="shared" si="0"/>
        <v>1943</v>
      </c>
      <c r="W11" s="259">
        <v>2058.7295496588854</v>
      </c>
      <c r="X11" s="1"/>
      <c r="Y11" s="250" t="s">
        <v>0</v>
      </c>
      <c r="Z11" s="250" t="s">
        <v>81</v>
      </c>
      <c r="AA11" s="250" t="s">
        <v>82</v>
      </c>
      <c r="AC11" s="112" t="s">
        <v>83</v>
      </c>
      <c r="AD11" s="113"/>
      <c r="AE11" s="113"/>
      <c r="AF11" s="113"/>
      <c r="AG11" s="113"/>
      <c r="AH11" s="113"/>
      <c r="AI11" s="113"/>
      <c r="AJ11" s="113"/>
      <c r="AK11" s="114"/>
      <c r="AL11" s="368"/>
      <c r="AM11" s="368"/>
      <c r="AN11" s="368"/>
      <c r="AO11" s="368"/>
      <c r="AP11" s="368"/>
      <c r="AQ11" s="368"/>
      <c r="AR11" s="368"/>
      <c r="AS11" s="114"/>
      <c r="AT11" s="80">
        <v>1940</v>
      </c>
      <c r="AU11" s="80" t="s">
        <v>166</v>
      </c>
    </row>
    <row r="12" spans="2:47" ht="18.75" customHeight="1" thickBot="1">
      <c r="B12" s="207" t="s">
        <v>7</v>
      </c>
      <c r="C12" s="207">
        <v>1942</v>
      </c>
      <c r="D12" s="208">
        <v>1</v>
      </c>
      <c r="E12" s="208" t="s">
        <v>8</v>
      </c>
      <c r="F12" s="209">
        <v>1</v>
      </c>
      <c r="G12" s="209"/>
      <c r="H12" s="208" t="s">
        <v>8</v>
      </c>
      <c r="I12" s="208" t="s">
        <v>8</v>
      </c>
      <c r="J12" s="209" t="s">
        <v>8</v>
      </c>
      <c r="K12" s="6"/>
      <c r="L12" s="1"/>
      <c r="M12" s="216">
        <v>1944</v>
      </c>
      <c r="N12" s="217">
        <v>3000</v>
      </c>
      <c r="O12" s="218">
        <v>0.02</v>
      </c>
      <c r="P12" s="216" t="s">
        <v>28</v>
      </c>
      <c r="Q12" s="219">
        <v>1984</v>
      </c>
      <c r="R12" s="217">
        <v>37800</v>
      </c>
      <c r="S12" s="220">
        <v>0.114</v>
      </c>
      <c r="T12" s="220">
        <v>0.026</v>
      </c>
      <c r="U12" s="213"/>
      <c r="V12" s="274">
        <f t="shared" si="0"/>
        <v>1944</v>
      </c>
      <c r="W12" s="259">
        <v>2069.5774617690836</v>
      </c>
      <c r="X12" s="1"/>
      <c r="Y12" s="251">
        <v>1951</v>
      </c>
      <c r="Z12" s="252">
        <v>2799.16</v>
      </c>
      <c r="AA12" s="253" t="s">
        <v>49</v>
      </c>
      <c r="AC12" s="370" t="s">
        <v>191</v>
      </c>
      <c r="AD12" s="370"/>
      <c r="AE12" s="370"/>
      <c r="AF12" s="370"/>
      <c r="AG12" s="370"/>
      <c r="AH12" s="370"/>
      <c r="AI12" s="370"/>
      <c r="AJ12" s="23"/>
      <c r="AK12" s="114"/>
      <c r="AL12" s="369"/>
      <c r="AM12" s="369"/>
      <c r="AN12" s="369"/>
      <c r="AO12" s="369"/>
      <c r="AP12" s="369"/>
      <c r="AQ12" s="369"/>
      <c r="AR12" s="369"/>
      <c r="AS12" s="114"/>
      <c r="AT12" s="80">
        <v>1941</v>
      </c>
      <c r="AU12" s="80" t="s">
        <v>167</v>
      </c>
    </row>
    <row r="13" spans="2:47" ht="15" thickBot="1">
      <c r="B13" s="207" t="s">
        <v>7</v>
      </c>
      <c r="C13" s="207">
        <v>1943</v>
      </c>
      <c r="D13" s="208">
        <v>1</v>
      </c>
      <c r="E13" s="208" t="s">
        <v>8</v>
      </c>
      <c r="F13" s="209">
        <v>1</v>
      </c>
      <c r="G13" s="209"/>
      <c r="H13" s="208" t="s">
        <v>8</v>
      </c>
      <c r="I13" s="208" t="s">
        <v>8</v>
      </c>
      <c r="J13" s="209" t="s">
        <v>8</v>
      </c>
      <c r="K13" s="6"/>
      <c r="L13" s="1"/>
      <c r="M13" s="216">
        <v>1945</v>
      </c>
      <c r="N13" s="217">
        <v>3000</v>
      </c>
      <c r="O13" s="218">
        <v>0.02</v>
      </c>
      <c r="P13" s="216" t="s">
        <v>28</v>
      </c>
      <c r="Q13" s="219">
        <v>1985</v>
      </c>
      <c r="R13" s="217">
        <v>39600</v>
      </c>
      <c r="S13" s="220">
        <v>0.114</v>
      </c>
      <c r="T13" s="220">
        <v>0.027</v>
      </c>
      <c r="U13" s="213"/>
      <c r="V13" s="274">
        <f t="shared" si="0"/>
        <v>1945</v>
      </c>
      <c r="W13" s="259">
        <v>2071.897032539487</v>
      </c>
      <c r="X13" s="1"/>
      <c r="Y13" s="251">
        <v>1952</v>
      </c>
      <c r="Z13" s="252">
        <v>2973.32</v>
      </c>
      <c r="AA13" s="254">
        <v>0.0622</v>
      </c>
      <c r="AC13" s="370"/>
      <c r="AD13" s="370"/>
      <c r="AE13" s="370"/>
      <c r="AF13" s="370"/>
      <c r="AG13" s="370"/>
      <c r="AH13" s="370"/>
      <c r="AI13" s="370"/>
      <c r="AJ13" s="23"/>
      <c r="AK13" s="114"/>
      <c r="AL13" s="372" t="s">
        <v>181</v>
      </c>
      <c r="AM13" s="373"/>
      <c r="AN13" s="373"/>
      <c r="AO13" s="373"/>
      <c r="AP13" s="373"/>
      <c r="AQ13" s="373"/>
      <c r="AR13" s="374"/>
      <c r="AS13" s="114"/>
      <c r="AT13" s="80">
        <v>1942</v>
      </c>
      <c r="AU13" s="80" t="s">
        <v>168</v>
      </c>
    </row>
    <row r="14" spans="2:47" ht="15.75" thickBot="1">
      <c r="B14" s="207" t="s">
        <v>7</v>
      </c>
      <c r="C14" s="207">
        <v>1944</v>
      </c>
      <c r="D14" s="208">
        <v>1</v>
      </c>
      <c r="E14" s="208" t="s">
        <v>8</v>
      </c>
      <c r="F14" s="209">
        <v>1</v>
      </c>
      <c r="G14" s="209"/>
      <c r="H14" s="208" t="s">
        <v>8</v>
      </c>
      <c r="I14" s="208" t="s">
        <v>8</v>
      </c>
      <c r="J14" s="209" t="s">
        <v>8</v>
      </c>
      <c r="K14" s="6"/>
      <c r="L14" s="1"/>
      <c r="M14" s="216">
        <v>1946</v>
      </c>
      <c r="N14" s="217">
        <v>3000</v>
      </c>
      <c r="O14" s="218">
        <v>0.02</v>
      </c>
      <c r="P14" s="216" t="s">
        <v>28</v>
      </c>
      <c r="Q14" s="219">
        <v>1986</v>
      </c>
      <c r="R14" s="217">
        <v>42000</v>
      </c>
      <c r="S14" s="220">
        <v>0.114</v>
      </c>
      <c r="T14" s="220">
        <v>0.029</v>
      </c>
      <c r="U14" s="213"/>
      <c r="V14" s="274">
        <f t="shared" si="0"/>
        <v>1946</v>
      </c>
      <c r="W14" s="259">
        <v>2263.157358481552</v>
      </c>
      <c r="X14" s="1"/>
      <c r="Y14" s="251">
        <v>1953</v>
      </c>
      <c r="Z14" s="252">
        <v>3139.44</v>
      </c>
      <c r="AA14" s="254">
        <v>0.0559</v>
      </c>
      <c r="AC14" s="370"/>
      <c r="AD14" s="370"/>
      <c r="AE14" s="370"/>
      <c r="AF14" s="370"/>
      <c r="AG14" s="370"/>
      <c r="AH14" s="370"/>
      <c r="AI14" s="370"/>
      <c r="AJ14" s="23"/>
      <c r="AK14" s="114"/>
      <c r="AL14" s="83" t="s">
        <v>127</v>
      </c>
      <c r="AM14" s="375" t="s">
        <v>129</v>
      </c>
      <c r="AN14" s="376"/>
      <c r="AO14" s="377"/>
      <c r="AP14" s="378" t="s">
        <v>130</v>
      </c>
      <c r="AQ14" s="379"/>
      <c r="AR14" s="380"/>
      <c r="AS14" s="114"/>
      <c r="AT14" s="80" t="s">
        <v>169</v>
      </c>
      <c r="AU14" s="80">
        <v>66</v>
      </c>
    </row>
    <row r="15" spans="2:47" ht="15.75" thickBot="1">
      <c r="B15" s="207" t="s">
        <v>7</v>
      </c>
      <c r="C15" s="207">
        <v>1945</v>
      </c>
      <c r="D15" s="208">
        <v>1</v>
      </c>
      <c r="E15" s="208" t="s">
        <v>8</v>
      </c>
      <c r="F15" s="209">
        <v>1</v>
      </c>
      <c r="G15" s="209"/>
      <c r="H15" s="208" t="s">
        <v>8</v>
      </c>
      <c r="I15" s="208" t="s">
        <v>8</v>
      </c>
      <c r="J15" s="209" t="s">
        <v>8</v>
      </c>
      <c r="K15" s="6"/>
      <c r="L15" s="1"/>
      <c r="M15" s="216">
        <v>1947</v>
      </c>
      <c r="N15" s="217">
        <v>3000</v>
      </c>
      <c r="O15" s="218">
        <v>0.02</v>
      </c>
      <c r="P15" s="216" t="s">
        <v>28</v>
      </c>
      <c r="Q15" s="219">
        <v>1987</v>
      </c>
      <c r="R15" s="217">
        <v>43800</v>
      </c>
      <c r="S15" s="220">
        <v>0.114</v>
      </c>
      <c r="T15" s="220">
        <v>0.029</v>
      </c>
      <c r="U15" s="213"/>
      <c r="V15" s="274">
        <f t="shared" si="0"/>
        <v>1947</v>
      </c>
      <c r="W15" s="259">
        <v>2499.427849963253</v>
      </c>
      <c r="X15" s="1"/>
      <c r="Y15" s="251">
        <v>1954</v>
      </c>
      <c r="Z15" s="252">
        <v>3155.64</v>
      </c>
      <c r="AA15" s="254">
        <v>0.0052</v>
      </c>
      <c r="AC15" s="370"/>
      <c r="AD15" s="370"/>
      <c r="AE15" s="370"/>
      <c r="AF15" s="370"/>
      <c r="AG15" s="370"/>
      <c r="AH15" s="370"/>
      <c r="AI15" s="370"/>
      <c r="AJ15" s="23"/>
      <c r="AK15" s="114"/>
      <c r="AL15" s="191" t="s">
        <v>128</v>
      </c>
      <c r="AM15" s="193" t="s">
        <v>131</v>
      </c>
      <c r="AN15" s="193" t="s">
        <v>133</v>
      </c>
      <c r="AO15" s="196" t="s">
        <v>135</v>
      </c>
      <c r="AP15" s="193" t="s">
        <v>131</v>
      </c>
      <c r="AQ15" s="193" t="s">
        <v>133</v>
      </c>
      <c r="AR15" s="197" t="s">
        <v>135</v>
      </c>
      <c r="AS15" s="114"/>
      <c r="AT15" s="80">
        <v>1955</v>
      </c>
      <c r="AU15" s="80" t="s">
        <v>170</v>
      </c>
    </row>
    <row r="16" spans="2:47" ht="15.75" thickBot="1">
      <c r="B16" s="207" t="s">
        <v>7</v>
      </c>
      <c r="C16" s="207">
        <v>1946</v>
      </c>
      <c r="D16" s="208">
        <v>1</v>
      </c>
      <c r="E16" s="208" t="s">
        <v>8</v>
      </c>
      <c r="F16" s="209">
        <v>1</v>
      </c>
      <c r="G16" s="209"/>
      <c r="H16" s="208" t="s">
        <v>8</v>
      </c>
      <c r="I16" s="208" t="s">
        <v>8</v>
      </c>
      <c r="J16" s="209" t="s">
        <v>8</v>
      </c>
      <c r="K16" s="6"/>
      <c r="L16" s="1"/>
      <c r="M16" s="216">
        <v>1948</v>
      </c>
      <c r="N16" s="217">
        <v>3000</v>
      </c>
      <c r="O16" s="218">
        <v>0.02</v>
      </c>
      <c r="P16" s="216" t="s">
        <v>28</v>
      </c>
      <c r="Q16" s="219">
        <v>1988</v>
      </c>
      <c r="R16" s="217">
        <v>45000</v>
      </c>
      <c r="S16" s="222">
        <v>0.1212</v>
      </c>
      <c r="T16" s="220">
        <v>0.029</v>
      </c>
      <c r="U16" s="213"/>
      <c r="V16" s="274">
        <f t="shared" si="0"/>
        <v>1948</v>
      </c>
      <c r="W16" s="259">
        <v>2741.92429827737</v>
      </c>
      <c r="X16" s="1"/>
      <c r="Y16" s="251">
        <v>1955</v>
      </c>
      <c r="Z16" s="252">
        <v>3301.44</v>
      </c>
      <c r="AA16" s="254">
        <v>0.0462</v>
      </c>
      <c r="AC16" s="370"/>
      <c r="AD16" s="370"/>
      <c r="AE16" s="370"/>
      <c r="AF16" s="370"/>
      <c r="AG16" s="370"/>
      <c r="AH16" s="370"/>
      <c r="AI16" s="370"/>
      <c r="AJ16" s="23"/>
      <c r="AK16" s="114"/>
      <c r="AL16" s="157"/>
      <c r="AM16" s="194" t="s">
        <v>132</v>
      </c>
      <c r="AN16" s="194" t="s">
        <v>134</v>
      </c>
      <c r="AO16" s="195" t="s">
        <v>136</v>
      </c>
      <c r="AP16" s="194" t="s">
        <v>132</v>
      </c>
      <c r="AQ16" s="194" t="s">
        <v>134</v>
      </c>
      <c r="AR16" s="146" t="s">
        <v>136</v>
      </c>
      <c r="AS16" s="114"/>
      <c r="AT16" s="80">
        <v>1956</v>
      </c>
      <c r="AU16" s="80" t="s">
        <v>171</v>
      </c>
    </row>
    <row r="17" spans="2:47" ht="15" thickBot="1">
      <c r="B17" s="207" t="s">
        <v>7</v>
      </c>
      <c r="C17" s="207">
        <v>1947</v>
      </c>
      <c r="D17" s="208">
        <v>1</v>
      </c>
      <c r="E17" s="208" t="s">
        <v>8</v>
      </c>
      <c r="F17" s="209">
        <v>1</v>
      </c>
      <c r="G17" s="209"/>
      <c r="H17" s="208" t="s">
        <v>8</v>
      </c>
      <c r="I17" s="208" t="s">
        <v>8</v>
      </c>
      <c r="J17" s="209" t="s">
        <v>8</v>
      </c>
      <c r="K17" s="6"/>
      <c r="L17" s="1"/>
      <c r="M17" s="216">
        <v>1949</v>
      </c>
      <c r="N17" s="217">
        <v>3000</v>
      </c>
      <c r="O17" s="218">
        <v>0.02</v>
      </c>
      <c r="P17" s="216" t="s">
        <v>28</v>
      </c>
      <c r="Q17" s="219">
        <v>1989</v>
      </c>
      <c r="R17" s="217">
        <v>48000</v>
      </c>
      <c r="S17" s="222">
        <v>0.1212</v>
      </c>
      <c r="T17" s="220">
        <v>0.029</v>
      </c>
      <c r="U17" s="213"/>
      <c r="V17" s="274">
        <f t="shared" si="0"/>
        <v>1949</v>
      </c>
      <c r="W17" s="259">
        <v>2681.4180254657085</v>
      </c>
      <c r="X17" s="1"/>
      <c r="Y17" s="251">
        <v>1956</v>
      </c>
      <c r="Z17" s="252">
        <v>3532.36</v>
      </c>
      <c r="AA17" s="254">
        <v>0.0699</v>
      </c>
      <c r="AC17" s="370"/>
      <c r="AD17" s="370"/>
      <c r="AE17" s="370"/>
      <c r="AF17" s="370"/>
      <c r="AG17" s="370"/>
      <c r="AH17" s="370"/>
      <c r="AI17" s="370"/>
      <c r="AJ17" s="23"/>
      <c r="AK17" s="114"/>
      <c r="AL17" s="84">
        <v>0</v>
      </c>
      <c r="AM17" s="192">
        <v>0.007379</v>
      </c>
      <c r="AN17" s="148">
        <v>100000</v>
      </c>
      <c r="AO17" s="94">
        <v>75.38</v>
      </c>
      <c r="AP17" s="147">
        <v>0.006096</v>
      </c>
      <c r="AQ17" s="148">
        <v>100000</v>
      </c>
      <c r="AR17" s="94">
        <v>80.43</v>
      </c>
      <c r="AS17" s="114"/>
      <c r="AT17" s="80">
        <v>1957</v>
      </c>
      <c r="AU17" s="80" t="s">
        <v>172</v>
      </c>
    </row>
    <row r="18" spans="2:47" ht="15" thickBot="1">
      <c r="B18" s="207" t="s">
        <v>7</v>
      </c>
      <c r="C18" s="207">
        <v>1948</v>
      </c>
      <c r="D18" s="208">
        <v>1</v>
      </c>
      <c r="E18" s="208" t="s">
        <v>8</v>
      </c>
      <c r="F18" s="209">
        <v>1</v>
      </c>
      <c r="G18" s="209"/>
      <c r="H18" s="208" t="s">
        <v>8</v>
      </c>
      <c r="I18" s="208" t="s">
        <v>8</v>
      </c>
      <c r="J18" s="209" t="s">
        <v>8</v>
      </c>
      <c r="K18" s="6"/>
      <c r="L18" s="1"/>
      <c r="M18" s="216">
        <v>1950</v>
      </c>
      <c r="N18" s="217">
        <v>3000</v>
      </c>
      <c r="O18" s="218">
        <v>0.03</v>
      </c>
      <c r="P18" s="216" t="s">
        <v>28</v>
      </c>
      <c r="Q18" s="219">
        <v>1990</v>
      </c>
      <c r="R18" s="217">
        <v>51300</v>
      </c>
      <c r="S18" s="220">
        <v>0.124</v>
      </c>
      <c r="T18" s="220">
        <v>0.029</v>
      </c>
      <c r="U18" s="213"/>
      <c r="V18" s="274">
        <f t="shared" si="0"/>
        <v>1950</v>
      </c>
      <c r="W18" s="259">
        <v>2923.155303702188</v>
      </c>
      <c r="X18" s="1"/>
      <c r="Y18" s="251">
        <v>1957</v>
      </c>
      <c r="Z18" s="252">
        <v>3641.72</v>
      </c>
      <c r="AA18" s="254">
        <v>0.031</v>
      </c>
      <c r="AC18" s="23"/>
      <c r="AD18" s="23"/>
      <c r="AE18" s="23"/>
      <c r="AF18" s="23"/>
      <c r="AG18" s="23"/>
      <c r="AH18" s="23"/>
      <c r="AI18" s="23"/>
      <c r="AJ18" s="23"/>
      <c r="AK18" s="114"/>
      <c r="AL18" s="84">
        <v>1</v>
      </c>
      <c r="AM18" s="97">
        <v>0.000494</v>
      </c>
      <c r="AN18" s="86">
        <v>99262</v>
      </c>
      <c r="AO18" s="94">
        <v>74.94</v>
      </c>
      <c r="AP18" s="94">
        <v>0.000434</v>
      </c>
      <c r="AQ18" s="86">
        <v>99390</v>
      </c>
      <c r="AR18" s="94">
        <v>79.92</v>
      </c>
      <c r="AS18" s="114"/>
      <c r="AT18" s="80">
        <v>1958</v>
      </c>
      <c r="AU18" s="80" t="s">
        <v>173</v>
      </c>
    </row>
    <row r="19" spans="2:47" ht="15" thickBot="1">
      <c r="B19" s="207" t="s">
        <v>7</v>
      </c>
      <c r="C19" s="207">
        <v>1949</v>
      </c>
      <c r="D19" s="208">
        <v>1</v>
      </c>
      <c r="E19" s="208" t="s">
        <v>8</v>
      </c>
      <c r="F19" s="209">
        <v>1</v>
      </c>
      <c r="G19" s="209"/>
      <c r="H19" s="208" t="s">
        <v>8</v>
      </c>
      <c r="I19" s="208" t="s">
        <v>8</v>
      </c>
      <c r="J19" s="209" t="s">
        <v>8</v>
      </c>
      <c r="K19" s="6"/>
      <c r="L19" s="1"/>
      <c r="M19" s="216">
        <v>1951</v>
      </c>
      <c r="N19" s="217">
        <v>3600</v>
      </c>
      <c r="O19" s="218">
        <v>0.03</v>
      </c>
      <c r="P19" s="216" t="s">
        <v>28</v>
      </c>
      <c r="Q19" s="219">
        <v>1991</v>
      </c>
      <c r="R19" s="217">
        <v>53400</v>
      </c>
      <c r="S19" s="220">
        <v>0.124</v>
      </c>
      <c r="T19" s="220">
        <v>0.029</v>
      </c>
      <c r="U19" s="213"/>
      <c r="V19" s="274">
        <f t="shared" si="0"/>
        <v>1951</v>
      </c>
      <c r="W19" s="259">
        <v>3249.78395076419</v>
      </c>
      <c r="X19" s="1"/>
      <c r="Y19" s="251">
        <v>1958</v>
      </c>
      <c r="Z19" s="252">
        <v>3673.8</v>
      </c>
      <c r="AA19" s="254">
        <v>0.0088</v>
      </c>
      <c r="AC19" s="223" t="s">
        <v>80</v>
      </c>
      <c r="AD19" s="255"/>
      <c r="AE19" s="255"/>
      <c r="AF19" s="255"/>
      <c r="AG19" s="23"/>
      <c r="AH19" s="23"/>
      <c r="AI19" s="23"/>
      <c r="AJ19" s="23"/>
      <c r="AK19" s="114"/>
      <c r="AL19" s="84">
        <v>2</v>
      </c>
      <c r="AM19" s="97">
        <v>0.000317</v>
      </c>
      <c r="AN19" s="86">
        <v>99213</v>
      </c>
      <c r="AO19" s="94">
        <v>73.98</v>
      </c>
      <c r="AP19" s="94">
        <v>0.000256</v>
      </c>
      <c r="AQ19" s="86">
        <v>99347</v>
      </c>
      <c r="AR19" s="94">
        <v>78.95</v>
      </c>
      <c r="AS19" s="114"/>
      <c r="AT19" s="80">
        <v>1959</v>
      </c>
      <c r="AU19" s="80" t="s">
        <v>174</v>
      </c>
    </row>
    <row r="20" spans="2:47" ht="15" thickBot="1">
      <c r="B20" s="207">
        <v>1950</v>
      </c>
      <c r="C20" s="207">
        <v>1950</v>
      </c>
      <c r="D20" s="208">
        <v>1.5</v>
      </c>
      <c r="E20" s="208" t="s">
        <v>8</v>
      </c>
      <c r="F20" s="209">
        <v>1.5</v>
      </c>
      <c r="G20" s="209"/>
      <c r="H20" s="208" t="s">
        <v>8</v>
      </c>
      <c r="I20" s="208" t="s">
        <v>8</v>
      </c>
      <c r="J20" s="209" t="s">
        <v>8</v>
      </c>
      <c r="K20" s="6"/>
      <c r="L20" s="1"/>
      <c r="M20" s="216">
        <v>1952</v>
      </c>
      <c r="N20" s="217">
        <v>3600</v>
      </c>
      <c r="O20" s="218">
        <v>0.03</v>
      </c>
      <c r="P20" s="216" t="s">
        <v>28</v>
      </c>
      <c r="Q20" s="219">
        <v>1992</v>
      </c>
      <c r="R20" s="217">
        <v>55500</v>
      </c>
      <c r="S20" s="220">
        <v>0.124</v>
      </c>
      <c r="T20" s="220">
        <v>0.029</v>
      </c>
      <c r="U20" s="213"/>
      <c r="V20" s="274">
        <f t="shared" si="0"/>
        <v>1952</v>
      </c>
      <c r="W20" s="259">
        <v>3426.7869762487494</v>
      </c>
      <c r="X20" s="1"/>
      <c r="Y20" s="251">
        <v>1959</v>
      </c>
      <c r="Z20" s="252">
        <v>3855.8</v>
      </c>
      <c r="AA20" s="254">
        <v>0.0495</v>
      </c>
      <c r="AC20" s="255"/>
      <c r="AD20" s="255"/>
      <c r="AE20" s="255"/>
      <c r="AF20" s="255"/>
      <c r="AG20" s="23"/>
      <c r="AH20" s="23"/>
      <c r="AI20" s="23"/>
      <c r="AJ20" s="23"/>
      <c r="AK20" s="114"/>
      <c r="AL20" s="84">
        <v>3</v>
      </c>
      <c r="AM20" s="97">
        <v>0.000241</v>
      </c>
      <c r="AN20" s="86">
        <v>99182</v>
      </c>
      <c r="AO20" s="94">
        <v>73</v>
      </c>
      <c r="AP20" s="94">
        <v>0.000192</v>
      </c>
      <c r="AQ20" s="86">
        <v>99322</v>
      </c>
      <c r="AR20" s="94">
        <v>77.97</v>
      </c>
      <c r="AS20" s="114"/>
      <c r="AT20" s="142" t="s">
        <v>175</v>
      </c>
      <c r="AU20" s="142">
        <v>67</v>
      </c>
    </row>
    <row r="21" spans="2:47" ht="15" thickBot="1">
      <c r="B21" s="207" t="s">
        <v>9</v>
      </c>
      <c r="C21" s="207">
        <v>1951</v>
      </c>
      <c r="D21" s="208">
        <v>1.5</v>
      </c>
      <c r="E21" s="208" t="s">
        <v>8</v>
      </c>
      <c r="F21" s="209">
        <v>1.5</v>
      </c>
      <c r="G21" s="209"/>
      <c r="H21" s="208">
        <v>2.25</v>
      </c>
      <c r="I21" s="208" t="s">
        <v>8</v>
      </c>
      <c r="J21" s="209">
        <v>2.25</v>
      </c>
      <c r="K21" s="6"/>
      <c r="L21" s="1"/>
      <c r="M21" s="216">
        <v>1953</v>
      </c>
      <c r="N21" s="217">
        <v>3600</v>
      </c>
      <c r="O21" s="218">
        <v>0.03</v>
      </c>
      <c r="P21" s="216" t="s">
        <v>28</v>
      </c>
      <c r="Q21" s="219">
        <v>1993</v>
      </c>
      <c r="R21" s="217">
        <v>57600</v>
      </c>
      <c r="S21" s="220">
        <v>0.124</v>
      </c>
      <c r="T21" s="220">
        <v>0.029</v>
      </c>
      <c r="U21" s="213"/>
      <c r="V21" s="274">
        <f t="shared" si="0"/>
        <v>1953</v>
      </c>
      <c r="W21" s="259">
        <v>3606.4636572026698</v>
      </c>
      <c r="X21" s="1"/>
      <c r="Y21" s="251">
        <v>1960</v>
      </c>
      <c r="Z21" s="252">
        <v>4007.12</v>
      </c>
      <c r="AA21" s="254">
        <v>0.0392</v>
      </c>
      <c r="AC21" s="256" t="s">
        <v>0</v>
      </c>
      <c r="AD21" s="257" t="s">
        <v>112</v>
      </c>
      <c r="AE21" s="257" t="s">
        <v>113</v>
      </c>
      <c r="AF21" s="258" t="s">
        <v>114</v>
      </c>
      <c r="AI21" s="56"/>
      <c r="AJ21" s="23"/>
      <c r="AK21" s="114"/>
      <c r="AL21" s="84">
        <v>4</v>
      </c>
      <c r="AM21" s="97">
        <v>0.0002</v>
      </c>
      <c r="AN21" s="86">
        <v>99158</v>
      </c>
      <c r="AO21" s="94">
        <v>72.02</v>
      </c>
      <c r="AP21" s="94">
        <v>0.000148</v>
      </c>
      <c r="AQ21" s="86">
        <v>99303</v>
      </c>
      <c r="AR21" s="94">
        <v>76.99</v>
      </c>
      <c r="AS21" s="114"/>
      <c r="AT21" s="393" t="s">
        <v>176</v>
      </c>
      <c r="AU21" s="393"/>
    </row>
    <row r="22" spans="2:49" ht="15.75" customHeight="1" thickBot="1">
      <c r="B22" s="207" t="s">
        <v>9</v>
      </c>
      <c r="C22" s="207">
        <v>1952</v>
      </c>
      <c r="D22" s="208">
        <v>1.5</v>
      </c>
      <c r="E22" s="208" t="s">
        <v>8</v>
      </c>
      <c r="F22" s="209">
        <v>1.5</v>
      </c>
      <c r="G22" s="209"/>
      <c r="H22" s="208">
        <v>2.25</v>
      </c>
      <c r="I22" s="208" t="s">
        <v>8</v>
      </c>
      <c r="J22" s="209">
        <v>2.25</v>
      </c>
      <c r="K22" s="6"/>
      <c r="L22" s="1"/>
      <c r="M22" s="216">
        <v>1954</v>
      </c>
      <c r="N22" s="217">
        <v>3600</v>
      </c>
      <c r="O22" s="218">
        <v>0.04</v>
      </c>
      <c r="P22" s="216" t="s">
        <v>28</v>
      </c>
      <c r="Q22" s="219">
        <v>1994</v>
      </c>
      <c r="R22" s="217">
        <v>60600</v>
      </c>
      <c r="S22" s="220">
        <v>0.124</v>
      </c>
      <c r="T22" s="220">
        <v>0.029</v>
      </c>
      <c r="U22" s="213"/>
      <c r="V22" s="274">
        <f t="shared" si="0"/>
        <v>1954</v>
      </c>
      <c r="W22" s="259">
        <v>3580.497173040569</v>
      </c>
      <c r="X22" s="1"/>
      <c r="Y22" s="251">
        <v>1961</v>
      </c>
      <c r="Z22" s="252">
        <v>4086.76</v>
      </c>
      <c r="AA22" s="254">
        <v>0.0199</v>
      </c>
      <c r="AC22" s="221">
        <v>1937</v>
      </c>
      <c r="AD22" s="259">
        <v>1060.5234623845752</v>
      </c>
      <c r="AE22" s="260">
        <v>0.021540032419565282</v>
      </c>
      <c r="AF22" s="261">
        <v>1</v>
      </c>
      <c r="AI22" s="23"/>
      <c r="AJ22" s="23"/>
      <c r="AK22" s="114"/>
      <c r="AL22" s="87">
        <v>5</v>
      </c>
      <c r="AM22" s="98">
        <v>0.000179</v>
      </c>
      <c r="AN22" s="89">
        <v>99138</v>
      </c>
      <c r="AO22" s="95">
        <v>71.03</v>
      </c>
      <c r="AP22" s="95">
        <v>0.000136</v>
      </c>
      <c r="AQ22" s="89">
        <v>99288</v>
      </c>
      <c r="AR22" s="95">
        <v>76</v>
      </c>
      <c r="AS22" s="114"/>
      <c r="AT22" s="371" t="s">
        <v>177</v>
      </c>
      <c r="AU22" s="371"/>
      <c r="AV22" s="371"/>
      <c r="AW22" s="156"/>
    </row>
    <row r="23" spans="2:49" ht="15.75" thickBot="1">
      <c r="B23" s="207" t="s">
        <v>9</v>
      </c>
      <c r="C23" s="207">
        <v>1953</v>
      </c>
      <c r="D23" s="208">
        <v>1.5</v>
      </c>
      <c r="E23" s="208" t="s">
        <v>8</v>
      </c>
      <c r="F23" s="209">
        <v>1.5</v>
      </c>
      <c r="G23" s="209"/>
      <c r="H23" s="208">
        <v>2.25</v>
      </c>
      <c r="I23" s="208" t="s">
        <v>8</v>
      </c>
      <c r="J23" s="209">
        <v>2.25</v>
      </c>
      <c r="K23" s="6"/>
      <c r="L23" s="1"/>
      <c r="M23" s="216">
        <v>1955</v>
      </c>
      <c r="N23" s="217">
        <v>4200</v>
      </c>
      <c r="O23" s="218">
        <v>0.04</v>
      </c>
      <c r="P23" s="216" t="s">
        <v>28</v>
      </c>
      <c r="Q23" s="219">
        <v>1995</v>
      </c>
      <c r="R23" s="217">
        <v>61200</v>
      </c>
      <c r="S23" s="220">
        <v>0.124</v>
      </c>
      <c r="T23" s="220">
        <v>0.029</v>
      </c>
      <c r="U23" s="213"/>
      <c r="V23" s="274">
        <f t="shared" si="0"/>
        <v>1955</v>
      </c>
      <c r="W23" s="259">
        <v>3812.3091946422883</v>
      </c>
      <c r="X23" s="1"/>
      <c r="Y23" s="251">
        <v>1962</v>
      </c>
      <c r="Z23" s="252">
        <v>4291.4</v>
      </c>
      <c r="AA23" s="254">
        <v>0.0501</v>
      </c>
      <c r="AC23" s="221">
        <f>AC22+1</f>
        <v>1938</v>
      </c>
      <c r="AD23" s="259">
        <v>956.9548806230778</v>
      </c>
      <c r="AE23" s="260">
        <v>0.019436476309854175</v>
      </c>
      <c r="AF23" s="261">
        <f>($AD23-$AD22)/$AD22</f>
        <v>-0.09765798252933</v>
      </c>
      <c r="AI23" s="53"/>
      <c r="AK23" s="114"/>
      <c r="AL23" s="87">
        <v>6</v>
      </c>
      <c r="AM23" s="98">
        <v>0.000166</v>
      </c>
      <c r="AN23" s="89">
        <v>99120</v>
      </c>
      <c r="AO23" s="95">
        <v>70.04</v>
      </c>
      <c r="AP23" s="95">
        <v>0.000128</v>
      </c>
      <c r="AQ23" s="89">
        <v>99275</v>
      </c>
      <c r="AR23" s="95">
        <v>75.01</v>
      </c>
      <c r="AS23" s="114"/>
      <c r="AT23" s="371"/>
      <c r="AU23" s="371"/>
      <c r="AV23" s="371"/>
      <c r="AW23" s="156"/>
    </row>
    <row r="24" spans="2:49" ht="15.75" thickBot="1">
      <c r="B24" s="207" t="s">
        <v>10</v>
      </c>
      <c r="C24" s="207">
        <v>1954</v>
      </c>
      <c r="D24" s="208">
        <v>2</v>
      </c>
      <c r="E24" s="208" t="s">
        <v>8</v>
      </c>
      <c r="F24" s="209">
        <v>2</v>
      </c>
      <c r="G24" s="209"/>
      <c r="H24" s="208">
        <v>3</v>
      </c>
      <c r="I24" s="208" t="s">
        <v>8</v>
      </c>
      <c r="J24" s="209">
        <v>3</v>
      </c>
      <c r="K24" s="6"/>
      <c r="L24" s="1"/>
      <c r="M24" s="216">
        <v>1956</v>
      </c>
      <c r="N24" s="217">
        <v>4200</v>
      </c>
      <c r="O24" s="218">
        <v>0.04</v>
      </c>
      <c r="P24" s="216" t="s">
        <v>28</v>
      </c>
      <c r="Q24" s="219">
        <v>1996</v>
      </c>
      <c r="R24" s="217">
        <v>62700</v>
      </c>
      <c r="S24" s="220">
        <v>0.124</v>
      </c>
      <c r="T24" s="220">
        <v>0.029</v>
      </c>
      <c r="U24" s="213"/>
      <c r="V24" s="274">
        <f t="shared" si="0"/>
        <v>1956</v>
      </c>
      <c r="W24" s="259">
        <v>4070.397507987256</v>
      </c>
      <c r="X24" s="1"/>
      <c r="Y24" s="251">
        <v>1963</v>
      </c>
      <c r="Z24" s="252">
        <v>4396.64</v>
      </c>
      <c r="AA24" s="254">
        <v>0.0245</v>
      </c>
      <c r="AC24" s="221">
        <f aca="true" t="shared" si="1" ref="AC24:AC87">AC23+1</f>
        <v>1939</v>
      </c>
      <c r="AD24" s="259">
        <v>1005.3156109169205</v>
      </c>
      <c r="AE24" s="260">
        <v>0.02041871926374507</v>
      </c>
      <c r="AF24" s="261">
        <f aca="true" t="shared" si="2" ref="AF24:AF87">($AD24-$AD23)/$AD23</f>
        <v>0.050536061075685014</v>
      </c>
      <c r="AI24" s="53"/>
      <c r="AK24" s="114"/>
      <c r="AL24" s="87">
        <v>7</v>
      </c>
      <c r="AM24" s="98">
        <v>0.000152</v>
      </c>
      <c r="AN24" s="89">
        <v>99104</v>
      </c>
      <c r="AO24" s="95">
        <v>69.05</v>
      </c>
      <c r="AP24" s="95">
        <v>0.000122</v>
      </c>
      <c r="AQ24" s="89">
        <v>99262</v>
      </c>
      <c r="AR24" s="95">
        <v>74.02</v>
      </c>
      <c r="AS24" s="114"/>
      <c r="AT24" s="371"/>
      <c r="AU24" s="371"/>
      <c r="AV24" s="371"/>
      <c r="AW24" s="156"/>
    </row>
    <row r="25" spans="2:49" ht="15.75" thickBot="1">
      <c r="B25" s="207" t="s">
        <v>10</v>
      </c>
      <c r="C25" s="207">
        <v>1955</v>
      </c>
      <c r="D25" s="208">
        <v>2</v>
      </c>
      <c r="E25" s="208" t="s">
        <v>8</v>
      </c>
      <c r="F25" s="209">
        <v>2</v>
      </c>
      <c r="G25" s="209"/>
      <c r="H25" s="208">
        <v>3</v>
      </c>
      <c r="I25" s="208" t="s">
        <v>8</v>
      </c>
      <c r="J25" s="209">
        <v>3</v>
      </c>
      <c r="K25" s="6"/>
      <c r="L25" s="1"/>
      <c r="M25" s="216">
        <v>1957</v>
      </c>
      <c r="N25" s="217">
        <v>4200</v>
      </c>
      <c r="O25" s="220">
        <v>0.045</v>
      </c>
      <c r="P25" s="216" t="s">
        <v>28</v>
      </c>
      <c r="Q25" s="219">
        <v>1997</v>
      </c>
      <c r="R25" s="217">
        <v>65400</v>
      </c>
      <c r="S25" s="220">
        <v>0.124</v>
      </c>
      <c r="T25" s="220">
        <v>0.029</v>
      </c>
      <c r="U25" s="213"/>
      <c r="V25" s="274">
        <f t="shared" si="0"/>
        <v>1957</v>
      </c>
      <c r="W25" s="259">
        <v>4234.671146716197</v>
      </c>
      <c r="X25" s="1"/>
      <c r="Y25" s="251">
        <v>1964</v>
      </c>
      <c r="Z25" s="252">
        <v>4576.32</v>
      </c>
      <c r="AA25" s="254">
        <v>0.0409</v>
      </c>
      <c r="AC25" s="221">
        <f t="shared" si="1"/>
        <v>1940</v>
      </c>
      <c r="AD25" s="259">
        <v>1063.1182701567013</v>
      </c>
      <c r="AE25" s="260">
        <v>0.021592734924994503</v>
      </c>
      <c r="AF25" s="261">
        <f t="shared" si="2"/>
        <v>0.0574970274131729</v>
      </c>
      <c r="AI25" s="53"/>
      <c r="AK25" s="114"/>
      <c r="AL25" s="87">
        <v>8</v>
      </c>
      <c r="AM25" s="98">
        <v>0.000133</v>
      </c>
      <c r="AN25" s="89">
        <v>99089</v>
      </c>
      <c r="AO25" s="95">
        <v>68.06</v>
      </c>
      <c r="AP25" s="95">
        <v>0.000115</v>
      </c>
      <c r="AQ25" s="89">
        <v>99250</v>
      </c>
      <c r="AR25" s="95">
        <v>73.03</v>
      </c>
      <c r="AS25" s="114"/>
      <c r="AT25" s="371" t="s">
        <v>178</v>
      </c>
      <c r="AU25" s="371"/>
      <c r="AV25" s="371"/>
      <c r="AW25" s="156"/>
    </row>
    <row r="26" spans="2:49" ht="15.75" customHeight="1" thickBot="1">
      <c r="B26" s="207" t="s">
        <v>10</v>
      </c>
      <c r="C26" s="207">
        <v>1956</v>
      </c>
      <c r="D26" s="208">
        <v>2</v>
      </c>
      <c r="E26" s="208" t="s">
        <v>8</v>
      </c>
      <c r="F26" s="209">
        <v>2</v>
      </c>
      <c r="G26" s="209"/>
      <c r="H26" s="208">
        <v>3</v>
      </c>
      <c r="I26" s="208" t="s">
        <v>8</v>
      </c>
      <c r="J26" s="209">
        <v>3</v>
      </c>
      <c r="K26" s="6"/>
      <c r="L26" s="1"/>
      <c r="M26" s="216">
        <v>1958</v>
      </c>
      <c r="N26" s="217">
        <v>4200</v>
      </c>
      <c r="O26" s="220">
        <v>0.045</v>
      </c>
      <c r="P26" s="216" t="s">
        <v>28</v>
      </c>
      <c r="Q26" s="219">
        <v>1998</v>
      </c>
      <c r="R26" s="217">
        <v>68400</v>
      </c>
      <c r="S26" s="220">
        <v>0.124</v>
      </c>
      <c r="T26" s="220">
        <v>0.029</v>
      </c>
      <c r="U26" s="213"/>
      <c r="V26" s="274">
        <f t="shared" si="0"/>
        <v>1958</v>
      </c>
      <c r="W26" s="259">
        <v>4216.942461974511</v>
      </c>
      <c r="X26" s="1"/>
      <c r="Y26" s="251">
        <v>1965</v>
      </c>
      <c r="Z26" s="252">
        <v>4658.72</v>
      </c>
      <c r="AA26" s="254">
        <v>0.018</v>
      </c>
      <c r="AC26" s="221">
        <f t="shared" si="1"/>
        <v>1941</v>
      </c>
      <c r="AD26" s="259">
        <v>1304.7004459404802</v>
      </c>
      <c r="AE26" s="260">
        <v>0.0264994513560212</v>
      </c>
      <c r="AF26" s="261">
        <f t="shared" si="2"/>
        <v>0.22723922875313787</v>
      </c>
      <c r="AI26" s="53"/>
      <c r="AK26" s="114"/>
      <c r="AL26" s="87">
        <v>9</v>
      </c>
      <c r="AM26" s="98">
        <v>0.000108</v>
      </c>
      <c r="AN26" s="89">
        <v>99075</v>
      </c>
      <c r="AO26" s="95">
        <v>67.07</v>
      </c>
      <c r="AP26" s="95">
        <v>0.000106</v>
      </c>
      <c r="AQ26" s="89">
        <v>99238</v>
      </c>
      <c r="AR26" s="95">
        <v>72.04</v>
      </c>
      <c r="AS26" s="114"/>
      <c r="AT26" s="371"/>
      <c r="AU26" s="371"/>
      <c r="AV26" s="371"/>
      <c r="AW26" s="156"/>
    </row>
    <row r="27" spans="2:49" ht="15.75" thickBot="1">
      <c r="B27" s="207" t="s">
        <v>11</v>
      </c>
      <c r="C27" s="207">
        <v>1957</v>
      </c>
      <c r="D27" s="208">
        <v>2</v>
      </c>
      <c r="E27" s="208">
        <v>0.25</v>
      </c>
      <c r="F27" s="209">
        <v>2.25</v>
      </c>
      <c r="G27" s="209"/>
      <c r="H27" s="208">
        <v>3</v>
      </c>
      <c r="I27" s="208">
        <v>0.375</v>
      </c>
      <c r="J27" s="209">
        <v>3.375</v>
      </c>
      <c r="K27" s="6"/>
      <c r="L27" s="1"/>
      <c r="M27" s="216">
        <v>1959</v>
      </c>
      <c r="N27" s="217">
        <v>4800</v>
      </c>
      <c r="O27" s="218">
        <v>0.05</v>
      </c>
      <c r="P27" s="216" t="s">
        <v>28</v>
      </c>
      <c r="Q27" s="219">
        <v>1999</v>
      </c>
      <c r="R27" s="217">
        <v>72600</v>
      </c>
      <c r="S27" s="220">
        <v>0.124</v>
      </c>
      <c r="T27" s="220">
        <v>0.029</v>
      </c>
      <c r="U27" s="213"/>
      <c r="V27" s="274">
        <f t="shared" si="0"/>
        <v>1959</v>
      </c>
      <c r="W27" s="259">
        <v>4501.4266353782095</v>
      </c>
      <c r="X27" s="1"/>
      <c r="Y27" s="251">
        <v>1966</v>
      </c>
      <c r="Z27" s="252">
        <v>4938.36</v>
      </c>
      <c r="AA27" s="254">
        <v>0.06</v>
      </c>
      <c r="AC27" s="221">
        <f t="shared" si="1"/>
        <v>1942</v>
      </c>
      <c r="AD27" s="259">
        <v>1677.976021871585</v>
      </c>
      <c r="AE27" s="260">
        <v>0.03408096019780507</v>
      </c>
      <c r="AF27" s="261">
        <f t="shared" si="2"/>
        <v>0.2861005965718306</v>
      </c>
      <c r="AI27" s="53"/>
      <c r="AK27" s="114"/>
      <c r="AL27" s="84">
        <v>10</v>
      </c>
      <c r="AM27" s="97">
        <v>8.9E-05</v>
      </c>
      <c r="AN27" s="86">
        <v>99065</v>
      </c>
      <c r="AO27" s="94">
        <v>66.08</v>
      </c>
      <c r="AP27" s="94">
        <v>0.0001</v>
      </c>
      <c r="AQ27" s="86">
        <v>99228</v>
      </c>
      <c r="AR27" s="94">
        <v>71.04</v>
      </c>
      <c r="AS27" s="114"/>
      <c r="AT27" s="371"/>
      <c r="AU27" s="371"/>
      <c r="AV27" s="371"/>
      <c r="AW27" s="156"/>
    </row>
    <row r="28" spans="2:49" ht="15.75" thickBot="1">
      <c r="B28" s="207" t="s">
        <v>11</v>
      </c>
      <c r="C28" s="207">
        <v>1958</v>
      </c>
      <c r="D28" s="208">
        <v>2</v>
      </c>
      <c r="E28" s="208">
        <v>0.25</v>
      </c>
      <c r="F28" s="209">
        <v>2.25</v>
      </c>
      <c r="G28" s="209"/>
      <c r="H28" s="208">
        <v>3</v>
      </c>
      <c r="I28" s="208">
        <v>0.375</v>
      </c>
      <c r="J28" s="209">
        <v>3.375</v>
      </c>
      <c r="K28" s="6"/>
      <c r="L28" s="1"/>
      <c r="M28" s="216">
        <v>1960</v>
      </c>
      <c r="N28" s="217">
        <v>4800</v>
      </c>
      <c r="O28" s="218">
        <v>0.06</v>
      </c>
      <c r="P28" s="216" t="s">
        <v>28</v>
      </c>
      <c r="Q28" s="219">
        <v>2000</v>
      </c>
      <c r="R28" s="217">
        <v>76200</v>
      </c>
      <c r="S28" s="220">
        <v>0.124</v>
      </c>
      <c r="T28" s="220">
        <v>0.029</v>
      </c>
      <c r="U28" s="213"/>
      <c r="V28" s="274">
        <f t="shared" si="0"/>
        <v>1960</v>
      </c>
      <c r="W28" s="259">
        <v>4630.540254317648</v>
      </c>
      <c r="X28" s="1"/>
      <c r="Y28" s="251">
        <v>1967</v>
      </c>
      <c r="Z28" s="252">
        <v>5213.44</v>
      </c>
      <c r="AA28" s="254">
        <v>0.0557</v>
      </c>
      <c r="AC28" s="221">
        <f t="shared" si="1"/>
        <v>1943</v>
      </c>
      <c r="AD28" s="259">
        <v>2058.7295496588854</v>
      </c>
      <c r="AE28" s="260">
        <v>0.04181435188907557</v>
      </c>
      <c r="AF28" s="261">
        <f t="shared" si="2"/>
        <v>0.22691237706878223</v>
      </c>
      <c r="AI28" s="53"/>
      <c r="AK28" s="114"/>
      <c r="AL28" s="84">
        <v>11</v>
      </c>
      <c r="AM28" s="97">
        <v>9.4E-05</v>
      </c>
      <c r="AN28" s="86">
        <v>99056</v>
      </c>
      <c r="AO28" s="94">
        <v>65.09</v>
      </c>
      <c r="AP28" s="94">
        <v>0.000102</v>
      </c>
      <c r="AQ28" s="86">
        <v>99218</v>
      </c>
      <c r="AR28" s="94">
        <v>70.05</v>
      </c>
      <c r="AS28" s="114"/>
      <c r="AT28" s="371"/>
      <c r="AU28" s="371"/>
      <c r="AV28" s="371"/>
      <c r="AW28" s="156"/>
    </row>
    <row r="29" spans="2:49" ht="15.75" thickBot="1">
      <c r="B29" s="207">
        <v>1959</v>
      </c>
      <c r="C29" s="207">
        <v>1959</v>
      </c>
      <c r="D29" s="208">
        <v>2.25</v>
      </c>
      <c r="E29" s="208">
        <v>0.25</v>
      </c>
      <c r="F29" s="209">
        <v>2.5</v>
      </c>
      <c r="G29" s="209"/>
      <c r="H29" s="208">
        <v>3.375</v>
      </c>
      <c r="I29" s="208">
        <v>0.375</v>
      </c>
      <c r="J29" s="209">
        <v>3.75</v>
      </c>
      <c r="K29" s="6"/>
      <c r="L29" s="1"/>
      <c r="M29" s="216">
        <v>1961</v>
      </c>
      <c r="N29" s="217">
        <v>4800</v>
      </c>
      <c r="O29" s="218">
        <v>0.06</v>
      </c>
      <c r="P29" s="216" t="s">
        <v>28</v>
      </c>
      <c r="Q29" s="219">
        <v>2001</v>
      </c>
      <c r="R29" s="217">
        <v>80400</v>
      </c>
      <c r="S29" s="220">
        <v>0.124</v>
      </c>
      <c r="T29" s="220">
        <v>0.029</v>
      </c>
      <c r="U29" s="213"/>
      <c r="V29" s="274">
        <f t="shared" si="0"/>
        <v>1961</v>
      </c>
      <c r="W29" s="259">
        <v>4732.1740724752835</v>
      </c>
      <c r="X29" s="1"/>
      <c r="Y29" s="251">
        <v>1968</v>
      </c>
      <c r="Z29" s="252">
        <v>5571.76</v>
      </c>
      <c r="AA29" s="254">
        <v>0.0687</v>
      </c>
      <c r="AC29" s="221">
        <f t="shared" si="1"/>
        <v>1944</v>
      </c>
      <c r="AD29" s="259">
        <v>2069.5774617690836</v>
      </c>
      <c r="AE29" s="260">
        <v>0.04203468117628707</v>
      </c>
      <c r="AF29" s="261">
        <f t="shared" si="2"/>
        <v>0.005269226408099891</v>
      </c>
      <c r="AI29" s="53"/>
      <c r="AK29" s="114"/>
      <c r="AL29" s="84">
        <v>12</v>
      </c>
      <c r="AM29" s="97">
        <v>0.000145</v>
      </c>
      <c r="AN29" s="86">
        <v>99047</v>
      </c>
      <c r="AO29" s="94">
        <v>64.09</v>
      </c>
      <c r="AP29" s="94">
        <v>0.00012</v>
      </c>
      <c r="AQ29" s="86">
        <v>99208</v>
      </c>
      <c r="AR29" s="94">
        <v>69.06</v>
      </c>
      <c r="AS29" s="114"/>
      <c r="AT29" s="371"/>
      <c r="AU29" s="371"/>
      <c r="AV29" s="371"/>
      <c r="AW29" s="156"/>
    </row>
    <row r="30" spans="2:49" ht="15.75" thickBot="1">
      <c r="B30" s="207" t="s">
        <v>12</v>
      </c>
      <c r="C30" s="207">
        <v>1960</v>
      </c>
      <c r="D30" s="208">
        <v>2.75</v>
      </c>
      <c r="E30" s="208">
        <v>0.25</v>
      </c>
      <c r="F30" s="209">
        <v>3</v>
      </c>
      <c r="G30" s="209"/>
      <c r="H30" s="208">
        <v>4.125</v>
      </c>
      <c r="I30" s="208">
        <v>0.375</v>
      </c>
      <c r="J30" s="209">
        <v>4.5</v>
      </c>
      <c r="K30" s="6"/>
      <c r="L30" s="1"/>
      <c r="M30" s="216">
        <v>1962</v>
      </c>
      <c r="N30" s="217">
        <v>4800</v>
      </c>
      <c r="O30" s="222">
        <v>0.0625</v>
      </c>
      <c r="P30" s="216" t="s">
        <v>28</v>
      </c>
      <c r="Q30" s="219">
        <v>2002</v>
      </c>
      <c r="R30" s="224">
        <v>84900</v>
      </c>
      <c r="S30" s="220">
        <v>0.124</v>
      </c>
      <c r="T30" s="220">
        <v>0.029</v>
      </c>
      <c r="U30" s="213"/>
      <c r="V30" s="274">
        <f t="shared" si="0"/>
        <v>1962</v>
      </c>
      <c r="W30" s="259">
        <v>4954.137456743608</v>
      </c>
      <c r="X30" s="1"/>
      <c r="Y30" s="251">
        <v>1969</v>
      </c>
      <c r="Z30" s="252">
        <v>5893.76</v>
      </c>
      <c r="AA30" s="254">
        <v>0.0578</v>
      </c>
      <c r="AC30" s="221">
        <f t="shared" si="1"/>
        <v>1945</v>
      </c>
      <c r="AD30" s="259">
        <v>2071.897032539487</v>
      </c>
      <c r="AE30" s="260">
        <v>0.0420817934103546</v>
      </c>
      <c r="AF30" s="261">
        <f t="shared" si="2"/>
        <v>0.0011207943714369294</v>
      </c>
      <c r="AI30" s="53"/>
      <c r="AK30" s="114"/>
      <c r="AL30" s="84">
        <v>13</v>
      </c>
      <c r="AM30" s="97">
        <v>0.000252</v>
      </c>
      <c r="AN30" s="86">
        <v>99032</v>
      </c>
      <c r="AO30" s="94">
        <v>63.1</v>
      </c>
      <c r="AP30" s="94">
        <v>0.000157</v>
      </c>
      <c r="AQ30" s="86">
        <v>99196</v>
      </c>
      <c r="AR30" s="94">
        <v>68.07</v>
      </c>
      <c r="AS30" s="114"/>
      <c r="AT30" s="264"/>
      <c r="AU30" s="158"/>
      <c r="AV30" s="156"/>
      <c r="AW30" s="156"/>
    </row>
    <row r="31" spans="2:49" ht="15.75" thickBot="1">
      <c r="B31" s="207" t="s">
        <v>12</v>
      </c>
      <c r="C31" s="207">
        <v>1961</v>
      </c>
      <c r="D31" s="208">
        <v>2.75</v>
      </c>
      <c r="E31" s="208">
        <v>0.25</v>
      </c>
      <c r="F31" s="209">
        <v>3</v>
      </c>
      <c r="G31" s="209"/>
      <c r="H31" s="208">
        <v>4.125</v>
      </c>
      <c r="I31" s="208">
        <v>0.375</v>
      </c>
      <c r="J31" s="209">
        <v>4.5</v>
      </c>
      <c r="K31" s="6"/>
      <c r="L31" s="1"/>
      <c r="M31" s="216">
        <v>1963</v>
      </c>
      <c r="N31" s="217">
        <v>4800</v>
      </c>
      <c r="O31" s="222">
        <v>0.0725</v>
      </c>
      <c r="P31" s="216" t="s">
        <v>28</v>
      </c>
      <c r="Q31" s="219">
        <v>2003</v>
      </c>
      <c r="R31" s="224">
        <v>87000</v>
      </c>
      <c r="S31" s="220">
        <v>0.124</v>
      </c>
      <c r="T31" s="220">
        <v>0.029</v>
      </c>
      <c r="U31" s="213"/>
      <c r="V31" s="274">
        <f t="shared" si="0"/>
        <v>1963</v>
      </c>
      <c r="W31" s="259">
        <v>5145.703033374037</v>
      </c>
      <c r="X31" s="1"/>
      <c r="Y31" s="251">
        <v>1970</v>
      </c>
      <c r="Z31" s="252">
        <v>6186.24</v>
      </c>
      <c r="AA31" s="254">
        <v>0.0496</v>
      </c>
      <c r="AB31" s="1"/>
      <c r="AC31" s="221">
        <f t="shared" si="1"/>
        <v>1946</v>
      </c>
      <c r="AD31" s="259">
        <v>2263.157358481552</v>
      </c>
      <c r="AE31" s="260">
        <v>0.04596643506845189</v>
      </c>
      <c r="AF31" s="261">
        <f t="shared" si="2"/>
        <v>0.09231169451873796</v>
      </c>
      <c r="AI31" s="53"/>
      <c r="AK31" s="114"/>
      <c r="AL31" s="84">
        <v>14</v>
      </c>
      <c r="AM31" s="97">
        <v>0.000401</v>
      </c>
      <c r="AN31" s="86">
        <v>99007</v>
      </c>
      <c r="AO31" s="94">
        <v>62.12</v>
      </c>
      <c r="AP31" s="94">
        <v>0.000209</v>
      </c>
      <c r="AQ31" s="86">
        <v>99180</v>
      </c>
      <c r="AR31" s="94">
        <v>67.08</v>
      </c>
      <c r="AS31" s="114"/>
      <c r="AT31" s="264"/>
      <c r="AU31" s="158"/>
      <c r="AV31" s="156"/>
      <c r="AW31" s="156"/>
    </row>
    <row r="32" spans="2:49" ht="15.75" thickBot="1">
      <c r="B32" s="207">
        <v>1962</v>
      </c>
      <c r="C32" s="207">
        <v>1962</v>
      </c>
      <c r="D32" s="208">
        <v>2.875</v>
      </c>
      <c r="E32" s="208">
        <v>0.25</v>
      </c>
      <c r="F32" s="209">
        <v>3.125</v>
      </c>
      <c r="G32" s="209"/>
      <c r="H32" s="208">
        <v>4.325</v>
      </c>
      <c r="I32" s="208">
        <v>0.375</v>
      </c>
      <c r="J32" s="209">
        <v>4.7</v>
      </c>
      <c r="K32" s="6"/>
      <c r="L32" s="1"/>
      <c r="M32" s="216">
        <v>1964</v>
      </c>
      <c r="N32" s="217">
        <v>4800</v>
      </c>
      <c r="O32" s="222">
        <v>0.0725</v>
      </c>
      <c r="P32" s="216" t="s">
        <v>28</v>
      </c>
      <c r="Q32" s="219">
        <v>2004</v>
      </c>
      <c r="R32" s="224">
        <v>87900</v>
      </c>
      <c r="S32" s="220">
        <v>0.124</v>
      </c>
      <c r="T32" s="220">
        <v>0.029</v>
      </c>
      <c r="U32" s="213"/>
      <c r="V32" s="274">
        <f t="shared" si="0"/>
        <v>1964</v>
      </c>
      <c r="W32" s="259">
        <v>5464.207508254978</v>
      </c>
      <c r="X32" s="1"/>
      <c r="Y32" s="251">
        <v>1971</v>
      </c>
      <c r="Z32" s="252">
        <v>6497.08</v>
      </c>
      <c r="AA32" s="254">
        <v>0.0502</v>
      </c>
      <c r="AB32" s="1"/>
      <c r="AC32" s="221">
        <f t="shared" si="1"/>
        <v>1947</v>
      </c>
      <c r="AD32" s="259">
        <v>2499.427849963253</v>
      </c>
      <c r="AE32" s="260">
        <v>0.050765267179963394</v>
      </c>
      <c r="AF32" s="261">
        <f t="shared" si="2"/>
        <v>0.10439861399660905</v>
      </c>
      <c r="AI32" s="53"/>
      <c r="AK32" s="114"/>
      <c r="AL32" s="87">
        <v>15</v>
      </c>
      <c r="AM32" s="98">
        <v>0.000563</v>
      </c>
      <c r="AN32" s="89">
        <v>98968</v>
      </c>
      <c r="AO32" s="95">
        <v>61.14</v>
      </c>
      <c r="AP32" s="95">
        <v>0.000267</v>
      </c>
      <c r="AQ32" s="89">
        <v>99160</v>
      </c>
      <c r="AR32" s="95">
        <v>66.09</v>
      </c>
      <c r="AS32" s="114"/>
      <c r="AT32" s="79"/>
      <c r="AU32" s="114"/>
      <c r="AW32" s="156"/>
    </row>
    <row r="33" spans="2:47" ht="15.75" thickBot="1">
      <c r="B33" s="207" t="s">
        <v>32</v>
      </c>
      <c r="C33" s="207">
        <v>1963</v>
      </c>
      <c r="D33" s="208">
        <v>3.375</v>
      </c>
      <c r="E33" s="208">
        <v>0.25</v>
      </c>
      <c r="F33" s="209">
        <v>3.625</v>
      </c>
      <c r="G33" s="209"/>
      <c r="H33" s="208">
        <v>5.025</v>
      </c>
      <c r="I33" s="208">
        <v>0.375</v>
      </c>
      <c r="J33" s="209">
        <v>5.4</v>
      </c>
      <c r="K33" s="6"/>
      <c r="L33" s="1"/>
      <c r="M33" s="216">
        <v>1965</v>
      </c>
      <c r="N33" s="217">
        <v>4800</v>
      </c>
      <c r="O33" s="222">
        <v>0.0725</v>
      </c>
      <c r="P33" s="216" t="s">
        <v>28</v>
      </c>
      <c r="Q33" s="219">
        <v>2005</v>
      </c>
      <c r="R33" s="224">
        <v>90000</v>
      </c>
      <c r="S33" s="220">
        <v>0.124</v>
      </c>
      <c r="T33" s="220">
        <v>0.029</v>
      </c>
      <c r="U33" s="213"/>
      <c r="V33" s="274">
        <f t="shared" si="0"/>
        <v>1965</v>
      </c>
      <c r="W33" s="259">
        <v>5779.932387749927</v>
      </c>
      <c r="X33" s="1"/>
      <c r="Y33" s="251">
        <v>1972</v>
      </c>
      <c r="Z33" s="252">
        <v>7133.8</v>
      </c>
      <c r="AA33" s="254">
        <v>0.098</v>
      </c>
      <c r="AB33" s="1"/>
      <c r="AC33" s="221">
        <f t="shared" si="1"/>
        <v>1948</v>
      </c>
      <c r="AD33" s="259">
        <v>2741.92429827737</v>
      </c>
      <c r="AE33" s="260">
        <v>0.0556905531765323</v>
      </c>
      <c r="AF33" s="261">
        <f t="shared" si="2"/>
        <v>0.09702078350358555</v>
      </c>
      <c r="AI33" s="53"/>
      <c r="AK33" s="114"/>
      <c r="AL33" s="87">
        <v>16</v>
      </c>
      <c r="AM33" s="98">
        <v>0.000719</v>
      </c>
      <c r="AN33" s="89">
        <v>98912</v>
      </c>
      <c r="AO33" s="95">
        <v>60.18</v>
      </c>
      <c r="AP33" s="95">
        <v>0.000323</v>
      </c>
      <c r="AQ33" s="89">
        <v>99133</v>
      </c>
      <c r="AR33" s="95">
        <v>65.11</v>
      </c>
      <c r="AS33" s="114"/>
      <c r="AT33" s="79"/>
      <c r="AU33" s="114"/>
    </row>
    <row r="34" spans="2:47" ht="15.75" thickBot="1">
      <c r="B34" s="207" t="s">
        <v>32</v>
      </c>
      <c r="C34" s="207">
        <v>1964</v>
      </c>
      <c r="D34" s="208">
        <v>3.375</v>
      </c>
      <c r="E34" s="208">
        <v>0.25</v>
      </c>
      <c r="F34" s="209">
        <v>3.625</v>
      </c>
      <c r="G34" s="209"/>
      <c r="H34" s="208">
        <v>5.025</v>
      </c>
      <c r="I34" s="208">
        <v>0.375</v>
      </c>
      <c r="J34" s="209">
        <v>5.4</v>
      </c>
      <c r="K34" s="6"/>
      <c r="L34" s="1"/>
      <c r="M34" s="216">
        <v>1966</v>
      </c>
      <c r="N34" s="217">
        <v>6600</v>
      </c>
      <c r="O34" s="220">
        <v>0.077</v>
      </c>
      <c r="P34" s="220">
        <v>0.007</v>
      </c>
      <c r="Q34" s="219">
        <v>2006</v>
      </c>
      <c r="R34" s="224">
        <v>94200</v>
      </c>
      <c r="S34" s="220">
        <v>0.124</v>
      </c>
      <c r="T34" s="220">
        <v>0.029</v>
      </c>
      <c r="U34" s="213"/>
      <c r="V34" s="274">
        <f t="shared" si="0"/>
        <v>1966</v>
      </c>
      <c r="W34" s="259">
        <v>6208.184894916481</v>
      </c>
      <c r="X34" s="1"/>
      <c r="Y34" s="251">
        <v>1973</v>
      </c>
      <c r="Z34" s="252">
        <v>7580.16</v>
      </c>
      <c r="AA34" s="254">
        <v>0.0626</v>
      </c>
      <c r="AB34" s="1"/>
      <c r="AC34" s="221">
        <f t="shared" si="1"/>
        <v>1949</v>
      </c>
      <c r="AD34" s="259">
        <v>2681.4180254657085</v>
      </c>
      <c r="AE34" s="260">
        <v>0.0544616250818914</v>
      </c>
      <c r="AF34" s="261">
        <f t="shared" si="2"/>
        <v>-0.0220670836352684</v>
      </c>
      <c r="AI34" s="53"/>
      <c r="AK34" s="114"/>
      <c r="AL34" s="87">
        <v>17</v>
      </c>
      <c r="AM34" s="98">
        <v>0.000873</v>
      </c>
      <c r="AN34" s="89">
        <v>98841</v>
      </c>
      <c r="AO34" s="95">
        <v>59.22</v>
      </c>
      <c r="AP34" s="95">
        <v>0.000369</v>
      </c>
      <c r="AQ34" s="89">
        <v>99101</v>
      </c>
      <c r="AR34" s="95">
        <v>64.13</v>
      </c>
      <c r="AS34" s="114"/>
      <c r="AT34" s="79"/>
      <c r="AU34" s="114"/>
    </row>
    <row r="35" spans="2:47" ht="15.75" thickBot="1">
      <c r="B35" s="207" t="s">
        <v>32</v>
      </c>
      <c r="C35" s="207">
        <v>1965</v>
      </c>
      <c r="D35" s="208">
        <v>3.375</v>
      </c>
      <c r="E35" s="208">
        <v>0.25</v>
      </c>
      <c r="F35" s="209">
        <v>3.625</v>
      </c>
      <c r="G35" s="209"/>
      <c r="H35" s="208">
        <v>5.025</v>
      </c>
      <c r="I35" s="208">
        <v>0.375</v>
      </c>
      <c r="J35" s="209">
        <v>5.4</v>
      </c>
      <c r="K35" s="6"/>
      <c r="L35" s="1"/>
      <c r="M35" s="216">
        <v>1967</v>
      </c>
      <c r="N35" s="217">
        <v>6600</v>
      </c>
      <c r="O35" s="220">
        <v>0.078</v>
      </c>
      <c r="P35" s="220">
        <v>0.01</v>
      </c>
      <c r="Q35" s="219">
        <v>2007</v>
      </c>
      <c r="R35" s="224">
        <v>97500</v>
      </c>
      <c r="S35" s="220">
        <v>0.124</v>
      </c>
      <c r="T35" s="220">
        <v>0.029</v>
      </c>
      <c r="U35" s="213"/>
      <c r="V35" s="274">
        <f t="shared" si="0"/>
        <v>1967</v>
      </c>
      <c r="W35" s="259">
        <v>6555.202728542779</v>
      </c>
      <c r="X35" s="1"/>
      <c r="Y35" s="251">
        <v>1974</v>
      </c>
      <c r="Z35" s="252">
        <v>8030.76</v>
      </c>
      <c r="AA35" s="254">
        <v>0.0594</v>
      </c>
      <c r="AB35" s="1"/>
      <c r="AC35" s="221">
        <f t="shared" si="1"/>
        <v>1950</v>
      </c>
      <c r="AD35" s="259">
        <v>2923.155303702188</v>
      </c>
      <c r="AE35" s="260">
        <v>0.059371491760864537</v>
      </c>
      <c r="AF35" s="261">
        <f t="shared" si="2"/>
        <v>0.09015277585989029</v>
      </c>
      <c r="AI35" s="53"/>
      <c r="AK35" s="114"/>
      <c r="AL35" s="87">
        <v>18</v>
      </c>
      <c r="AM35" s="98">
        <v>0.001017</v>
      </c>
      <c r="AN35" s="89">
        <v>98754</v>
      </c>
      <c r="AO35" s="95">
        <v>58.27</v>
      </c>
      <c r="AP35" s="95">
        <v>0.000401</v>
      </c>
      <c r="AQ35" s="89">
        <v>99064</v>
      </c>
      <c r="AR35" s="95">
        <v>63.15</v>
      </c>
      <c r="AS35" s="114"/>
      <c r="AT35" s="79"/>
      <c r="AU35" s="114"/>
    </row>
    <row r="36" spans="2:47" ht="15.75" thickBot="1">
      <c r="B36" s="207">
        <v>1966</v>
      </c>
      <c r="C36" s="207">
        <v>1966</v>
      </c>
      <c r="D36" s="208">
        <v>3.5</v>
      </c>
      <c r="E36" s="208">
        <v>0.35</v>
      </c>
      <c r="F36" s="209">
        <v>3.85</v>
      </c>
      <c r="G36" s="209"/>
      <c r="H36" s="208">
        <v>5.275</v>
      </c>
      <c r="I36" s="208">
        <v>0.525</v>
      </c>
      <c r="J36" s="209">
        <v>5.8</v>
      </c>
      <c r="K36" s="6"/>
      <c r="L36" s="1"/>
      <c r="M36" s="216">
        <v>1968</v>
      </c>
      <c r="N36" s="217">
        <v>7800</v>
      </c>
      <c r="O36" s="220">
        <v>0.076</v>
      </c>
      <c r="P36" s="220">
        <v>0.012</v>
      </c>
      <c r="Q36" s="219">
        <v>2008</v>
      </c>
      <c r="R36" s="224">
        <v>102000</v>
      </c>
      <c r="S36" s="220">
        <v>0.124</v>
      </c>
      <c r="T36" s="220">
        <v>0.029</v>
      </c>
      <c r="U36" s="213"/>
      <c r="V36" s="274">
        <f t="shared" si="0"/>
        <v>1968</v>
      </c>
      <c r="W36" s="259">
        <v>7053.811504728738</v>
      </c>
      <c r="X36" s="1"/>
      <c r="Y36" s="251">
        <v>1975</v>
      </c>
      <c r="Z36" s="252">
        <v>8630.92</v>
      </c>
      <c r="AA36" s="254">
        <v>0.0747</v>
      </c>
      <c r="AB36" s="1"/>
      <c r="AC36" s="221">
        <f t="shared" si="1"/>
        <v>1951</v>
      </c>
      <c r="AD36" s="259">
        <v>3249.78395076419</v>
      </c>
      <c r="AE36" s="260">
        <v>0.06600556624994262</v>
      </c>
      <c r="AF36" s="261">
        <f t="shared" si="2"/>
        <v>0.1117383830576246</v>
      </c>
      <c r="AI36" s="53"/>
      <c r="AK36" s="114"/>
      <c r="AL36" s="87">
        <v>19</v>
      </c>
      <c r="AM36" s="98">
        <v>0.001148</v>
      </c>
      <c r="AN36" s="89">
        <v>98654</v>
      </c>
      <c r="AO36" s="95">
        <v>57.33</v>
      </c>
      <c r="AP36" s="95">
        <v>0.000422</v>
      </c>
      <c r="AQ36" s="89">
        <v>99025</v>
      </c>
      <c r="AR36" s="95">
        <v>62.18</v>
      </c>
      <c r="AS36" s="114"/>
      <c r="AT36" s="79"/>
      <c r="AU36" s="114"/>
    </row>
    <row r="37" spans="2:47" ht="15.75" thickBot="1">
      <c r="B37" s="207">
        <v>1967</v>
      </c>
      <c r="C37" s="207">
        <v>1967</v>
      </c>
      <c r="D37" s="208">
        <v>3.55</v>
      </c>
      <c r="E37" s="208">
        <v>0.35</v>
      </c>
      <c r="F37" s="209">
        <v>3.9</v>
      </c>
      <c r="G37" s="209"/>
      <c r="H37" s="208">
        <v>5.375</v>
      </c>
      <c r="I37" s="208">
        <v>0.525</v>
      </c>
      <c r="J37" s="209">
        <v>5.9</v>
      </c>
      <c r="K37" s="6"/>
      <c r="L37" s="1"/>
      <c r="M37" s="216">
        <v>1969</v>
      </c>
      <c r="N37" s="217">
        <v>7800</v>
      </c>
      <c r="O37" s="220">
        <v>0.084</v>
      </c>
      <c r="P37" s="220">
        <v>0.012</v>
      </c>
      <c r="Q37" s="219">
        <v>2009</v>
      </c>
      <c r="R37" s="224">
        <v>106800</v>
      </c>
      <c r="S37" s="220">
        <v>0.124</v>
      </c>
      <c r="T37" s="220">
        <v>0.029</v>
      </c>
      <c r="U37" s="213"/>
      <c r="V37" s="274">
        <f t="shared" si="0"/>
        <v>1969</v>
      </c>
      <c r="W37" s="259">
        <v>7547.660099705453</v>
      </c>
      <c r="X37" s="1"/>
      <c r="Y37" s="251">
        <v>1976</v>
      </c>
      <c r="Z37" s="252">
        <v>9226.48</v>
      </c>
      <c r="AA37" s="254">
        <v>0.069</v>
      </c>
      <c r="AB37" s="1"/>
      <c r="AC37" s="221">
        <f t="shared" si="1"/>
        <v>1952</v>
      </c>
      <c r="AD37" s="259">
        <v>3426.7869762487494</v>
      </c>
      <c r="AE37" s="260">
        <v>0.06960063136875276</v>
      </c>
      <c r="AF37" s="261">
        <f t="shared" si="2"/>
        <v>0.05446609010513968</v>
      </c>
      <c r="AI37" s="53"/>
      <c r="AK37" s="114"/>
      <c r="AL37" s="84">
        <v>20</v>
      </c>
      <c r="AM37" s="97">
        <v>0.001285</v>
      </c>
      <c r="AN37" s="86">
        <v>98541</v>
      </c>
      <c r="AO37" s="94">
        <v>56.4</v>
      </c>
      <c r="AP37" s="94">
        <v>0.000441</v>
      </c>
      <c r="AQ37" s="86">
        <v>98983</v>
      </c>
      <c r="AR37" s="94">
        <v>61.2</v>
      </c>
      <c r="AS37" s="114"/>
      <c r="AT37" s="79"/>
      <c r="AU37" s="114"/>
    </row>
    <row r="38" spans="2:47" ht="15.75" thickBot="1">
      <c r="B38" s="207">
        <v>1968</v>
      </c>
      <c r="C38" s="207">
        <v>1968</v>
      </c>
      <c r="D38" s="208">
        <v>3.325</v>
      </c>
      <c r="E38" s="208">
        <v>0.475</v>
      </c>
      <c r="F38" s="209">
        <v>3.8</v>
      </c>
      <c r="G38" s="209"/>
      <c r="H38" s="208">
        <v>5.0875</v>
      </c>
      <c r="I38" s="208">
        <v>0.7125</v>
      </c>
      <c r="J38" s="209">
        <v>5.8</v>
      </c>
      <c r="K38" s="6"/>
      <c r="L38" s="1"/>
      <c r="M38" s="216">
        <v>1970</v>
      </c>
      <c r="N38" s="217">
        <v>7800</v>
      </c>
      <c r="O38" s="220">
        <v>0.084</v>
      </c>
      <c r="P38" s="220">
        <v>0.012</v>
      </c>
      <c r="Q38" s="219">
        <v>2010</v>
      </c>
      <c r="R38" s="224">
        <v>106800</v>
      </c>
      <c r="S38" s="220">
        <v>0.124</v>
      </c>
      <c r="T38" s="220">
        <v>0.029</v>
      </c>
      <c r="U38" s="213"/>
      <c r="V38" s="274">
        <f t="shared" si="0"/>
        <v>1970</v>
      </c>
      <c r="W38" s="259">
        <v>8023.276610451579</v>
      </c>
      <c r="X38" s="1"/>
      <c r="Y38" s="251">
        <v>1977</v>
      </c>
      <c r="Z38" s="252">
        <v>9779.44</v>
      </c>
      <c r="AA38" s="254">
        <v>0.0599</v>
      </c>
      <c r="AB38" s="1"/>
      <c r="AC38" s="221">
        <f t="shared" si="1"/>
        <v>1953</v>
      </c>
      <c r="AD38" s="259">
        <v>3606.4636572026698</v>
      </c>
      <c r="AE38" s="260">
        <v>0.07325000044926809</v>
      </c>
      <c r="AF38" s="261">
        <f t="shared" si="2"/>
        <v>0.05243298816041657</v>
      </c>
      <c r="AI38" s="53"/>
      <c r="AK38" s="114"/>
      <c r="AL38" s="84">
        <v>21</v>
      </c>
      <c r="AM38" s="97">
        <v>0.001412</v>
      </c>
      <c r="AN38" s="86">
        <v>98414</v>
      </c>
      <c r="AO38" s="94">
        <v>55.47</v>
      </c>
      <c r="AP38" s="94">
        <v>0.000463</v>
      </c>
      <c r="AQ38" s="86">
        <v>98939</v>
      </c>
      <c r="AR38" s="94">
        <v>60.23</v>
      </c>
      <c r="AS38" s="114"/>
      <c r="AT38" s="79"/>
      <c r="AU38" s="114"/>
    </row>
    <row r="39" spans="2:47" ht="15.75" thickBot="1">
      <c r="B39" s="207">
        <v>1969</v>
      </c>
      <c r="C39" s="207">
        <v>1969</v>
      </c>
      <c r="D39" s="208">
        <v>3.725</v>
      </c>
      <c r="E39" s="208">
        <v>0.475</v>
      </c>
      <c r="F39" s="209">
        <v>4.2</v>
      </c>
      <c r="G39" s="209"/>
      <c r="H39" s="208">
        <v>5.5875</v>
      </c>
      <c r="I39" s="208">
        <v>0.7125</v>
      </c>
      <c r="J39" s="209">
        <v>6.3</v>
      </c>
      <c r="K39" s="6"/>
      <c r="L39" s="1"/>
      <c r="M39" s="216">
        <v>1971</v>
      </c>
      <c r="N39" s="217">
        <v>7800</v>
      </c>
      <c r="O39" s="220">
        <v>0.092</v>
      </c>
      <c r="P39" s="220">
        <v>0.012</v>
      </c>
      <c r="Q39" s="219" t="s">
        <v>34</v>
      </c>
      <c r="R39" s="224">
        <v>106800</v>
      </c>
      <c r="S39" s="220">
        <v>0.104</v>
      </c>
      <c r="T39" s="220">
        <v>0.029</v>
      </c>
      <c r="U39" s="213"/>
      <c r="V39" s="274">
        <f t="shared" si="0"/>
        <v>1971</v>
      </c>
      <c r="W39" s="259">
        <v>8352.003711975429</v>
      </c>
      <c r="X39" s="1"/>
      <c r="Y39" s="251">
        <v>1978</v>
      </c>
      <c r="Z39" s="252">
        <v>10556.03</v>
      </c>
      <c r="AA39" s="254">
        <v>0.0794</v>
      </c>
      <c r="AB39" s="1"/>
      <c r="AC39" s="221">
        <f t="shared" si="1"/>
        <v>1954</v>
      </c>
      <c r="AD39" s="259">
        <v>3580.497173040569</v>
      </c>
      <c r="AE39" s="260">
        <v>0.07272260154626206</v>
      </c>
      <c r="AF39" s="261">
        <f t="shared" si="2"/>
        <v>-0.007199984979812989</v>
      </c>
      <c r="AI39" s="53"/>
      <c r="AK39" s="114"/>
      <c r="AL39" s="84">
        <v>22</v>
      </c>
      <c r="AM39" s="97">
        <v>0.001493</v>
      </c>
      <c r="AN39" s="86">
        <v>98275</v>
      </c>
      <c r="AO39" s="94">
        <v>54.54</v>
      </c>
      <c r="AP39" s="94">
        <v>0.000483</v>
      </c>
      <c r="AQ39" s="86">
        <v>98894</v>
      </c>
      <c r="AR39" s="94">
        <v>59.26</v>
      </c>
      <c r="AS39" s="114"/>
      <c r="AT39" s="79"/>
      <c r="AU39" s="114"/>
    </row>
    <row r="40" spans="2:47" ht="15.75" thickBot="1">
      <c r="B40" s="207">
        <v>1970</v>
      </c>
      <c r="C40" s="207">
        <v>1970</v>
      </c>
      <c r="D40" s="208">
        <v>3.65</v>
      </c>
      <c r="E40" s="208">
        <v>0.55</v>
      </c>
      <c r="F40" s="209">
        <v>4.2</v>
      </c>
      <c r="G40" s="209"/>
      <c r="H40" s="208">
        <v>5.475</v>
      </c>
      <c r="I40" s="208">
        <v>0.825</v>
      </c>
      <c r="J40" s="209">
        <v>6.3</v>
      </c>
      <c r="K40" s="6"/>
      <c r="L40" s="1"/>
      <c r="M40" s="216">
        <v>1972</v>
      </c>
      <c r="N40" s="217">
        <v>9000</v>
      </c>
      <c r="O40" s="220">
        <v>0.092</v>
      </c>
      <c r="P40" s="220">
        <v>0.012</v>
      </c>
      <c r="Q40" s="225" t="s">
        <v>36</v>
      </c>
      <c r="R40" s="224">
        <v>110100</v>
      </c>
      <c r="S40" s="220">
        <v>0.104</v>
      </c>
      <c r="T40" s="220">
        <v>0.029</v>
      </c>
      <c r="U40" s="213"/>
      <c r="V40" s="274">
        <f t="shared" si="0"/>
        <v>1972</v>
      </c>
      <c r="W40" s="259">
        <v>8977.55291980617</v>
      </c>
      <c r="X40" s="1"/>
      <c r="Y40" s="251">
        <v>1979</v>
      </c>
      <c r="Z40" s="252">
        <v>11479.46</v>
      </c>
      <c r="AA40" s="254">
        <v>0.0875</v>
      </c>
      <c r="AB40" s="1"/>
      <c r="AC40" s="221">
        <f t="shared" si="1"/>
        <v>1955</v>
      </c>
      <c r="AD40" s="259">
        <v>3812.3091946422883</v>
      </c>
      <c r="AE40" s="260">
        <v>0.07743087876751162</v>
      </c>
      <c r="AF40" s="261">
        <f t="shared" si="2"/>
        <v>0.06474297015150655</v>
      </c>
      <c r="AI40" s="53"/>
      <c r="AK40" s="114"/>
      <c r="AL40" s="84">
        <v>23</v>
      </c>
      <c r="AM40" s="97">
        <v>0.001513</v>
      </c>
      <c r="AN40" s="86">
        <v>98128</v>
      </c>
      <c r="AO40" s="94">
        <v>53.63</v>
      </c>
      <c r="AP40" s="94">
        <v>0.000499</v>
      </c>
      <c r="AQ40" s="86">
        <v>98846</v>
      </c>
      <c r="AR40" s="94">
        <v>58.29</v>
      </c>
      <c r="AS40" s="114"/>
      <c r="AT40" s="79"/>
      <c r="AU40" s="114"/>
    </row>
    <row r="41" spans="2:47" ht="15.75" thickBot="1">
      <c r="B41" s="207" t="s">
        <v>33</v>
      </c>
      <c r="C41" s="207">
        <v>1971</v>
      </c>
      <c r="D41" s="208">
        <v>4.05</v>
      </c>
      <c r="E41" s="208">
        <v>0.55</v>
      </c>
      <c r="F41" s="209">
        <v>4.6</v>
      </c>
      <c r="G41" s="209"/>
      <c r="H41" s="208">
        <v>6.075</v>
      </c>
      <c r="I41" s="208">
        <v>0.825</v>
      </c>
      <c r="J41" s="209">
        <v>6.9</v>
      </c>
      <c r="K41" s="6"/>
      <c r="L41" s="1"/>
      <c r="M41" s="219">
        <v>1973</v>
      </c>
      <c r="N41" s="217">
        <v>10800</v>
      </c>
      <c r="O41" s="220">
        <v>0.097</v>
      </c>
      <c r="P41" s="220">
        <v>0.02</v>
      </c>
      <c r="Q41" s="219">
        <v>2013</v>
      </c>
      <c r="R41" s="226">
        <v>113700</v>
      </c>
      <c r="S41" s="220"/>
      <c r="T41" s="220"/>
      <c r="U41" s="213"/>
      <c r="V41" s="274">
        <f t="shared" si="0"/>
        <v>1973</v>
      </c>
      <c r="W41" s="259">
        <v>9734.090074386277</v>
      </c>
      <c r="X41" s="1"/>
      <c r="Y41" s="251">
        <v>1980</v>
      </c>
      <c r="Z41" s="252">
        <v>12513.46</v>
      </c>
      <c r="AA41" s="254">
        <v>0.0901</v>
      </c>
      <c r="AB41" s="1"/>
      <c r="AC41" s="221">
        <f t="shared" si="1"/>
        <v>1956</v>
      </c>
      <c r="AD41" s="259">
        <v>4070.397507987256</v>
      </c>
      <c r="AE41" s="260">
        <v>0.08267284731770443</v>
      </c>
      <c r="AF41" s="261">
        <f t="shared" si="2"/>
        <v>0.06769868344038776</v>
      </c>
      <c r="AI41" s="53"/>
      <c r="AK41" s="114"/>
      <c r="AL41" s="84">
        <v>24</v>
      </c>
      <c r="AM41" s="97">
        <v>0.001487</v>
      </c>
      <c r="AN41" s="86">
        <v>97980</v>
      </c>
      <c r="AO41" s="94">
        <v>52.71</v>
      </c>
      <c r="AP41" s="94">
        <v>0.000513</v>
      </c>
      <c r="AQ41" s="86">
        <v>98796</v>
      </c>
      <c r="AR41" s="94">
        <v>57.32</v>
      </c>
      <c r="AS41" s="114"/>
      <c r="AT41" s="79"/>
      <c r="AU41" s="114"/>
    </row>
    <row r="42" spans="2:47" ht="15.75" thickBot="1">
      <c r="B42" s="207" t="s">
        <v>33</v>
      </c>
      <c r="C42" s="207">
        <v>1972</v>
      </c>
      <c r="D42" s="208">
        <v>4.05</v>
      </c>
      <c r="E42" s="208">
        <v>0.55</v>
      </c>
      <c r="F42" s="209">
        <v>4.6</v>
      </c>
      <c r="G42" s="209"/>
      <c r="H42" s="208">
        <v>6.075</v>
      </c>
      <c r="I42" s="208">
        <v>0.825</v>
      </c>
      <c r="J42" s="209">
        <v>6.9</v>
      </c>
      <c r="K42" s="6"/>
      <c r="L42" s="1"/>
      <c r="M42" s="219">
        <v>1974</v>
      </c>
      <c r="N42" s="217">
        <v>13200</v>
      </c>
      <c r="O42" s="220">
        <v>0.099</v>
      </c>
      <c r="P42" s="220">
        <v>0.018</v>
      </c>
      <c r="Q42" s="219"/>
      <c r="R42" s="227"/>
      <c r="S42" s="220"/>
      <c r="T42" s="220"/>
      <c r="U42" s="213"/>
      <c r="V42" s="274">
        <f t="shared" si="0"/>
        <v>1974</v>
      </c>
      <c r="W42" s="259">
        <v>10484.621285395995</v>
      </c>
      <c r="X42" s="1"/>
      <c r="Y42" s="251">
        <v>1981</v>
      </c>
      <c r="Z42" s="252">
        <v>13773.1</v>
      </c>
      <c r="AA42" s="254">
        <v>0.1007</v>
      </c>
      <c r="AB42" s="1"/>
      <c r="AC42" s="221">
        <f t="shared" si="1"/>
        <v>1957</v>
      </c>
      <c r="AD42" s="259">
        <v>4234.671146716197</v>
      </c>
      <c r="AE42" s="260">
        <v>0.08600936897838052</v>
      </c>
      <c r="AF42" s="261">
        <f t="shared" si="2"/>
        <v>0.040358131707429024</v>
      </c>
      <c r="AI42" s="53"/>
      <c r="AK42" s="114"/>
      <c r="AL42" s="87">
        <v>25</v>
      </c>
      <c r="AM42" s="98">
        <v>0.001446</v>
      </c>
      <c r="AN42" s="89">
        <v>97834</v>
      </c>
      <c r="AO42" s="95">
        <v>51.78</v>
      </c>
      <c r="AP42" s="95">
        <v>0.000528</v>
      </c>
      <c r="AQ42" s="89">
        <v>98746</v>
      </c>
      <c r="AR42" s="95">
        <v>56.35</v>
      </c>
      <c r="AS42" s="114"/>
      <c r="AT42" s="79"/>
      <c r="AU42" s="114"/>
    </row>
    <row r="43" spans="2:47" ht="15.75" thickBot="1">
      <c r="B43" s="207">
        <v>1973</v>
      </c>
      <c r="C43" s="207">
        <v>1973</v>
      </c>
      <c r="D43" s="208">
        <v>4.3</v>
      </c>
      <c r="E43" s="208">
        <v>0.55</v>
      </c>
      <c r="F43" s="209">
        <v>4.85</v>
      </c>
      <c r="G43" s="209"/>
      <c r="H43" s="208">
        <v>6.205</v>
      </c>
      <c r="I43" s="208">
        <v>0.795</v>
      </c>
      <c r="J43" s="209">
        <v>7</v>
      </c>
      <c r="K43" s="6"/>
      <c r="L43" s="1"/>
      <c r="M43" s="219">
        <v>1975</v>
      </c>
      <c r="N43" s="217">
        <v>14100</v>
      </c>
      <c r="O43" s="220">
        <v>0.099</v>
      </c>
      <c r="P43" s="220">
        <v>0.018</v>
      </c>
      <c r="Q43" s="219"/>
      <c r="R43" s="224"/>
      <c r="S43" s="220"/>
      <c r="T43" s="220"/>
      <c r="U43" s="213"/>
      <c r="V43" s="274">
        <f t="shared" si="0"/>
        <v>1975</v>
      </c>
      <c r="W43" s="259">
        <v>10838.312987712257</v>
      </c>
      <c r="X43" s="1"/>
      <c r="Y43" s="251">
        <v>1982</v>
      </c>
      <c r="Z43" s="252">
        <v>14531.34</v>
      </c>
      <c r="AA43" s="254">
        <v>0.0551</v>
      </c>
      <c r="AB43" s="1"/>
      <c r="AC43" s="221">
        <f t="shared" si="1"/>
        <v>1958</v>
      </c>
      <c r="AD43" s="259">
        <v>4216.942461974511</v>
      </c>
      <c r="AE43" s="260">
        <v>0.08564928600272101</v>
      </c>
      <c r="AF43" s="261">
        <f t="shared" si="2"/>
        <v>-0.004186555254811978</v>
      </c>
      <c r="AI43" s="53"/>
      <c r="AK43" s="114"/>
      <c r="AL43" s="87">
        <v>26</v>
      </c>
      <c r="AM43" s="98">
        <v>0.001412</v>
      </c>
      <c r="AN43" s="89">
        <v>97693</v>
      </c>
      <c r="AO43" s="95">
        <v>50.86</v>
      </c>
      <c r="AP43" s="95">
        <v>0.000544</v>
      </c>
      <c r="AQ43" s="89">
        <v>98694</v>
      </c>
      <c r="AR43" s="95">
        <v>55.38</v>
      </c>
      <c r="AS43" s="114"/>
      <c r="AT43" s="79"/>
      <c r="AU43" s="114"/>
    </row>
    <row r="44" spans="2:47" ht="15.75" thickBot="1">
      <c r="B44" s="207" t="s">
        <v>35</v>
      </c>
      <c r="C44" s="207">
        <v>1974</v>
      </c>
      <c r="D44" s="208">
        <v>4.375</v>
      </c>
      <c r="E44" s="208">
        <v>0.575</v>
      </c>
      <c r="F44" s="209">
        <v>4.95</v>
      </c>
      <c r="G44" s="209"/>
      <c r="H44" s="208">
        <v>6.185</v>
      </c>
      <c r="I44" s="208">
        <v>0.815</v>
      </c>
      <c r="J44" s="209">
        <v>7</v>
      </c>
      <c r="K44" s="6"/>
      <c r="L44" s="1"/>
      <c r="M44" s="219">
        <v>1976</v>
      </c>
      <c r="N44" s="217">
        <v>15300</v>
      </c>
      <c r="O44" s="220">
        <v>0.099</v>
      </c>
      <c r="P44" s="220">
        <v>0.018</v>
      </c>
      <c r="Q44" s="219"/>
      <c r="R44" s="224"/>
      <c r="S44" s="220"/>
      <c r="T44" s="220"/>
      <c r="U44" s="213"/>
      <c r="V44" s="274">
        <f t="shared" si="0"/>
        <v>1976</v>
      </c>
      <c r="W44" s="259">
        <v>11738.415374843926</v>
      </c>
      <c r="X44" s="1"/>
      <c r="Y44" s="251">
        <v>1983</v>
      </c>
      <c r="Z44" s="252">
        <v>15239.24</v>
      </c>
      <c r="AA44" s="254">
        <v>0.0487</v>
      </c>
      <c r="AB44" s="1"/>
      <c r="AC44" s="221">
        <f t="shared" si="1"/>
        <v>1959</v>
      </c>
      <c r="AD44" s="259">
        <v>4501.4266353782095</v>
      </c>
      <c r="AE44" s="260">
        <v>0.09142737440464152</v>
      </c>
      <c r="AF44" s="261">
        <f t="shared" si="2"/>
        <v>0.06746218995610703</v>
      </c>
      <c r="AI44" s="53"/>
      <c r="AK44" s="114"/>
      <c r="AL44" s="87">
        <v>27</v>
      </c>
      <c r="AM44" s="98">
        <v>0.001389</v>
      </c>
      <c r="AN44" s="89">
        <v>97555</v>
      </c>
      <c r="AO44" s="95">
        <v>49.93</v>
      </c>
      <c r="AP44" s="95">
        <v>0.000563</v>
      </c>
      <c r="AQ44" s="89">
        <v>98640</v>
      </c>
      <c r="AR44" s="95">
        <v>54.4</v>
      </c>
      <c r="AS44" s="114"/>
      <c r="AT44" s="79"/>
      <c r="AU44" s="114"/>
    </row>
    <row r="45" spans="2:47" ht="15.75" thickBot="1">
      <c r="B45" s="207" t="s">
        <v>35</v>
      </c>
      <c r="C45" s="207">
        <v>1975</v>
      </c>
      <c r="D45" s="208">
        <v>4.375</v>
      </c>
      <c r="E45" s="208">
        <v>0.575</v>
      </c>
      <c r="F45" s="209">
        <v>4.95</v>
      </c>
      <c r="G45" s="209"/>
      <c r="H45" s="208">
        <v>6.185</v>
      </c>
      <c r="I45" s="208">
        <v>0.815</v>
      </c>
      <c r="J45" s="209">
        <v>7</v>
      </c>
      <c r="K45" s="6"/>
      <c r="L45" s="1"/>
      <c r="M45" s="219"/>
      <c r="N45" s="217"/>
      <c r="O45" s="220"/>
      <c r="P45" s="220"/>
      <c r="Q45" s="228"/>
      <c r="R45" s="228"/>
      <c r="S45" s="228"/>
      <c r="T45" s="228"/>
      <c r="U45" s="213"/>
      <c r="V45" s="274">
        <f t="shared" si="0"/>
        <v>1977</v>
      </c>
      <c r="W45" s="259">
        <v>12625.619492543816</v>
      </c>
      <c r="X45" s="1"/>
      <c r="Y45" s="251">
        <v>1984</v>
      </c>
      <c r="Z45" s="252">
        <v>16135.07</v>
      </c>
      <c r="AA45" s="254">
        <v>0.0588</v>
      </c>
      <c r="AB45" s="1"/>
      <c r="AC45" s="221">
        <f t="shared" si="1"/>
        <v>1960</v>
      </c>
      <c r="AD45" s="259">
        <v>4630.540254317648</v>
      </c>
      <c r="AE45" s="260">
        <v>0.0940497695108371</v>
      </c>
      <c r="AF45" s="261">
        <f t="shared" si="2"/>
        <v>0.028682822002405066</v>
      </c>
      <c r="AI45" s="53"/>
      <c r="AK45" s="114"/>
      <c r="AL45" s="87">
        <v>28</v>
      </c>
      <c r="AM45" s="98">
        <v>0.001388</v>
      </c>
      <c r="AN45" s="89">
        <v>97419</v>
      </c>
      <c r="AO45" s="95">
        <v>49</v>
      </c>
      <c r="AP45" s="95">
        <v>0.000585</v>
      </c>
      <c r="AQ45" s="89">
        <v>98584</v>
      </c>
      <c r="AR45" s="95">
        <v>53.44</v>
      </c>
      <c r="AS45" s="114"/>
      <c r="AT45" s="79"/>
      <c r="AU45" s="114"/>
    </row>
    <row r="46" spans="2:47" ht="15.75" thickBot="1">
      <c r="B46" s="207" t="s">
        <v>35</v>
      </c>
      <c r="C46" s="207">
        <v>1976</v>
      </c>
      <c r="D46" s="208">
        <v>4.375</v>
      </c>
      <c r="E46" s="208">
        <v>0.575</v>
      </c>
      <c r="F46" s="209">
        <v>4.95</v>
      </c>
      <c r="G46" s="209"/>
      <c r="H46" s="208">
        <v>6.185</v>
      </c>
      <c r="I46" s="208">
        <v>0.815</v>
      </c>
      <c r="J46" s="209">
        <v>7</v>
      </c>
      <c r="K46" s="6"/>
      <c r="L46" s="1"/>
      <c r="M46" s="213"/>
      <c r="N46" s="213"/>
      <c r="O46" s="213"/>
      <c r="P46" s="213"/>
      <c r="Q46" s="213"/>
      <c r="R46" s="213"/>
      <c r="S46" s="213"/>
      <c r="T46" s="229"/>
      <c r="U46" s="213"/>
      <c r="V46" s="274">
        <f t="shared" si="0"/>
        <v>1978</v>
      </c>
      <c r="W46" s="259">
        <v>13838.165780499685</v>
      </c>
      <c r="X46" s="1"/>
      <c r="Y46" s="251">
        <v>1985</v>
      </c>
      <c r="Z46" s="252">
        <v>16822.51</v>
      </c>
      <c r="AA46" s="254">
        <v>0.0426</v>
      </c>
      <c r="AB46" s="1"/>
      <c r="AC46" s="221">
        <f t="shared" si="1"/>
        <v>1961</v>
      </c>
      <c r="AD46" s="259">
        <v>4732.1740724752835</v>
      </c>
      <c r="AE46" s="260">
        <v>0.09611402911063632</v>
      </c>
      <c r="AF46" s="261">
        <f t="shared" si="2"/>
        <v>0.021948587546101</v>
      </c>
      <c r="AI46" s="53"/>
      <c r="AK46" s="114"/>
      <c r="AL46" s="87">
        <v>29</v>
      </c>
      <c r="AM46" s="98">
        <v>0.001405</v>
      </c>
      <c r="AN46" s="89">
        <v>97284</v>
      </c>
      <c r="AO46" s="95">
        <v>48.07</v>
      </c>
      <c r="AP46" s="95">
        <v>0.000612</v>
      </c>
      <c r="AQ46" s="89">
        <v>98527</v>
      </c>
      <c r="AR46" s="95">
        <v>52.47</v>
      </c>
      <c r="AS46" s="114"/>
      <c r="AT46" s="79"/>
      <c r="AU46" s="114"/>
    </row>
    <row r="47" spans="2:47" ht="15.75" thickBot="1">
      <c r="B47" s="207" t="s">
        <v>35</v>
      </c>
      <c r="C47" s="207">
        <v>1977</v>
      </c>
      <c r="D47" s="208">
        <v>4.375</v>
      </c>
      <c r="E47" s="208">
        <v>0.575</v>
      </c>
      <c r="F47" s="209">
        <v>4.95</v>
      </c>
      <c r="G47" s="209"/>
      <c r="H47" s="208">
        <v>6.185</v>
      </c>
      <c r="I47" s="208">
        <v>0.815</v>
      </c>
      <c r="J47" s="209">
        <v>7</v>
      </c>
      <c r="K47" s="6"/>
      <c r="L47" s="1"/>
      <c r="M47" s="413" t="s">
        <v>54</v>
      </c>
      <c r="N47" s="414"/>
      <c r="O47" s="414"/>
      <c r="P47" s="414"/>
      <c r="Q47" s="414"/>
      <c r="R47" s="414"/>
      <c r="S47" s="414"/>
      <c r="T47" s="414"/>
      <c r="U47" s="213"/>
      <c r="V47" s="274">
        <f t="shared" si="0"/>
        <v>1979</v>
      </c>
      <c r="W47" s="259">
        <v>15148.56157821527</v>
      </c>
      <c r="X47" s="1"/>
      <c r="Y47" s="251">
        <v>1986</v>
      </c>
      <c r="Z47" s="252">
        <v>17321.82</v>
      </c>
      <c r="AA47" s="254">
        <v>0.0297</v>
      </c>
      <c r="AB47" s="1"/>
      <c r="AC47" s="221">
        <f t="shared" si="1"/>
        <v>1962</v>
      </c>
      <c r="AD47" s="259">
        <v>4954.137456743608</v>
      </c>
      <c r="AE47" s="260">
        <v>0.10062227307003528</v>
      </c>
      <c r="AF47" s="261">
        <f t="shared" si="2"/>
        <v>0.046905160475684</v>
      </c>
      <c r="AI47" s="53"/>
      <c r="AK47" s="114"/>
      <c r="AL47" s="84">
        <v>30</v>
      </c>
      <c r="AM47" s="97">
        <v>0.001428</v>
      </c>
      <c r="AN47" s="86">
        <v>97147</v>
      </c>
      <c r="AO47" s="94">
        <v>47.13</v>
      </c>
      <c r="AP47" s="94">
        <v>0.000642</v>
      </c>
      <c r="AQ47" s="86">
        <v>98466</v>
      </c>
      <c r="AR47" s="94">
        <v>51.5</v>
      </c>
      <c r="AS47" s="114"/>
      <c r="AT47" s="79"/>
      <c r="AU47" s="114"/>
    </row>
    <row r="48" spans="2:47" ht="15.75" thickBot="1">
      <c r="B48" s="207">
        <v>1978</v>
      </c>
      <c r="C48" s="207">
        <v>1978</v>
      </c>
      <c r="D48" s="208">
        <v>4.275</v>
      </c>
      <c r="E48" s="208">
        <v>0.775</v>
      </c>
      <c r="F48" s="209">
        <v>5.05</v>
      </c>
      <c r="G48" s="209"/>
      <c r="H48" s="208">
        <v>6.01</v>
      </c>
      <c r="I48" s="208">
        <v>1.09</v>
      </c>
      <c r="J48" s="209">
        <v>7.1</v>
      </c>
      <c r="K48" s="6"/>
      <c r="L48" s="1"/>
      <c r="M48" s="414"/>
      <c r="N48" s="414"/>
      <c r="O48" s="414"/>
      <c r="P48" s="414"/>
      <c r="Q48" s="414"/>
      <c r="R48" s="414"/>
      <c r="S48" s="414"/>
      <c r="T48" s="414"/>
      <c r="U48" s="213"/>
      <c r="V48" s="274">
        <f t="shared" si="0"/>
        <v>1980</v>
      </c>
      <c r="W48" s="259">
        <v>16379.339703052718</v>
      </c>
      <c r="X48" s="1"/>
      <c r="Y48" s="251">
        <v>1987</v>
      </c>
      <c r="Z48" s="252">
        <v>18426.51</v>
      </c>
      <c r="AA48" s="254">
        <v>0.0638</v>
      </c>
      <c r="AB48" s="1"/>
      <c r="AC48" s="221">
        <f t="shared" si="1"/>
        <v>1963</v>
      </c>
      <c r="AD48" s="259">
        <v>5145.703033374037</v>
      </c>
      <c r="AE48" s="260">
        <v>0.10451311460013604</v>
      </c>
      <c r="AF48" s="261">
        <f t="shared" si="2"/>
        <v>0.03866779601960146</v>
      </c>
      <c r="AI48" s="53"/>
      <c r="AK48" s="114"/>
      <c r="AL48" s="84">
        <v>31</v>
      </c>
      <c r="AM48" s="97">
        <v>0.001453</v>
      </c>
      <c r="AN48" s="86">
        <v>97009</v>
      </c>
      <c r="AO48" s="94">
        <v>46.2</v>
      </c>
      <c r="AP48" s="94">
        <v>0.000678</v>
      </c>
      <c r="AQ48" s="86">
        <v>98403</v>
      </c>
      <c r="AR48" s="94">
        <v>50.53</v>
      </c>
      <c r="AS48" s="114"/>
      <c r="AT48" s="79"/>
      <c r="AU48" s="114"/>
    </row>
    <row r="49" spans="2:47" ht="15.75" thickBot="1">
      <c r="B49" s="207">
        <v>1979</v>
      </c>
      <c r="C49" s="207">
        <v>1979</v>
      </c>
      <c r="D49" s="208">
        <v>4.33</v>
      </c>
      <c r="E49" s="208">
        <v>0.75</v>
      </c>
      <c r="F49" s="209">
        <v>5.08</v>
      </c>
      <c r="G49" s="209"/>
      <c r="H49" s="208">
        <v>6.01</v>
      </c>
      <c r="I49" s="208">
        <v>1.04</v>
      </c>
      <c r="J49" s="209">
        <v>7.05</v>
      </c>
      <c r="K49" s="6"/>
      <c r="L49" s="1"/>
      <c r="M49" s="414"/>
      <c r="N49" s="414"/>
      <c r="O49" s="414"/>
      <c r="P49" s="414"/>
      <c r="Q49" s="414"/>
      <c r="R49" s="414"/>
      <c r="S49" s="414"/>
      <c r="T49" s="414"/>
      <c r="U49" s="213"/>
      <c r="V49" s="274">
        <f t="shared" si="0"/>
        <v>1981</v>
      </c>
      <c r="W49" s="259">
        <v>17783.749251628273</v>
      </c>
      <c r="X49" s="1"/>
      <c r="Y49" s="251">
        <v>1988</v>
      </c>
      <c r="Z49" s="252">
        <v>19334.04</v>
      </c>
      <c r="AA49" s="254">
        <v>0.0493</v>
      </c>
      <c r="AB49" s="1"/>
      <c r="AC49" s="221">
        <f t="shared" si="1"/>
        <v>1964</v>
      </c>
      <c r="AD49" s="259">
        <v>5464.207508254978</v>
      </c>
      <c r="AE49" s="260">
        <v>0.11098218101690925</v>
      </c>
      <c r="AF49" s="261">
        <f t="shared" si="2"/>
        <v>0.06189717378076093</v>
      </c>
      <c r="AI49" s="53"/>
      <c r="AK49" s="114"/>
      <c r="AL49" s="84">
        <v>32</v>
      </c>
      <c r="AM49" s="97">
        <v>0.001487</v>
      </c>
      <c r="AN49" s="86">
        <v>96868</v>
      </c>
      <c r="AO49" s="94">
        <v>45.27</v>
      </c>
      <c r="AP49" s="94">
        <v>0.000721</v>
      </c>
      <c r="AQ49" s="86">
        <v>98336</v>
      </c>
      <c r="AR49" s="94">
        <v>49.56</v>
      </c>
      <c r="AS49" s="114"/>
      <c r="AT49" s="79"/>
      <c r="AU49" s="114"/>
    </row>
    <row r="50" spans="2:47" ht="15.75" thickBot="1">
      <c r="B50" s="207">
        <v>1980</v>
      </c>
      <c r="C50" s="207">
        <v>1980</v>
      </c>
      <c r="D50" s="208">
        <v>4.52</v>
      </c>
      <c r="E50" s="208">
        <v>0.56</v>
      </c>
      <c r="F50" s="209">
        <v>5.08</v>
      </c>
      <c r="G50" s="209"/>
      <c r="H50" s="208">
        <v>6.2725</v>
      </c>
      <c r="I50" s="208">
        <v>0.7775</v>
      </c>
      <c r="J50" s="209">
        <v>7.05</v>
      </c>
      <c r="K50" s="6"/>
      <c r="L50" s="1"/>
      <c r="M50" s="414"/>
      <c r="N50" s="414"/>
      <c r="O50" s="414"/>
      <c r="P50" s="414"/>
      <c r="Q50" s="414"/>
      <c r="R50" s="414"/>
      <c r="S50" s="414"/>
      <c r="T50" s="414"/>
      <c r="U50" s="213"/>
      <c r="V50" s="274">
        <f t="shared" si="0"/>
        <v>1982</v>
      </c>
      <c r="W50" s="259">
        <v>18479.091904558405</v>
      </c>
      <c r="X50" s="1"/>
      <c r="Y50" s="251">
        <v>1989</v>
      </c>
      <c r="Z50" s="252">
        <v>20099.55</v>
      </c>
      <c r="AA50" s="254">
        <v>0.0396</v>
      </c>
      <c r="AB50" s="1"/>
      <c r="AC50" s="221">
        <f t="shared" si="1"/>
        <v>1965</v>
      </c>
      <c r="AD50" s="259">
        <v>5779.932387749927</v>
      </c>
      <c r="AE50" s="260">
        <v>0.11739479175226554</v>
      </c>
      <c r="AF50" s="261">
        <f t="shared" si="2"/>
        <v>0.05778054347642765</v>
      </c>
      <c r="AI50" s="53"/>
      <c r="AK50" s="114"/>
      <c r="AL50" s="84">
        <v>33</v>
      </c>
      <c r="AM50" s="97">
        <v>0.001529</v>
      </c>
      <c r="AN50" s="86">
        <v>96724</v>
      </c>
      <c r="AO50" s="94">
        <v>44.33</v>
      </c>
      <c r="AP50" s="94">
        <v>0.000771</v>
      </c>
      <c r="AQ50" s="86">
        <v>98266</v>
      </c>
      <c r="AR50" s="94">
        <v>48.6</v>
      </c>
      <c r="AS50" s="114"/>
      <c r="AT50" s="79"/>
      <c r="AU50" s="114"/>
    </row>
    <row r="51" spans="2:47" ht="15.75" thickBot="1">
      <c r="B51" s="207">
        <v>1981</v>
      </c>
      <c r="C51" s="207">
        <v>1981</v>
      </c>
      <c r="D51" s="208">
        <v>4.7</v>
      </c>
      <c r="E51" s="208">
        <v>0.65</v>
      </c>
      <c r="F51" s="209">
        <v>5.35</v>
      </c>
      <c r="G51" s="209"/>
      <c r="H51" s="208">
        <v>7.025</v>
      </c>
      <c r="I51" s="208">
        <v>0.975</v>
      </c>
      <c r="J51" s="209">
        <v>8</v>
      </c>
      <c r="K51" s="6"/>
      <c r="L51" s="1"/>
      <c r="M51" s="409" t="s">
        <v>38</v>
      </c>
      <c r="N51" s="409"/>
      <c r="O51" s="409"/>
      <c r="P51" s="409"/>
      <c r="Q51" s="409"/>
      <c r="R51" s="409"/>
      <c r="S51" s="409"/>
      <c r="T51" s="409"/>
      <c r="U51" s="213"/>
      <c r="V51" s="274">
        <f t="shared" si="0"/>
        <v>1983</v>
      </c>
      <c r="W51" s="259">
        <v>19077.37488788619</v>
      </c>
      <c r="X51" s="1"/>
      <c r="Y51" s="251">
        <v>1990</v>
      </c>
      <c r="Z51" s="252">
        <v>21027.98</v>
      </c>
      <c r="AA51" s="254">
        <v>0.0462</v>
      </c>
      <c r="AB51" s="1"/>
      <c r="AC51" s="221">
        <f t="shared" si="1"/>
        <v>1966</v>
      </c>
      <c r="AD51" s="259">
        <v>6208.184894916481</v>
      </c>
      <c r="AE51" s="260">
        <v>0.12609292358556448</v>
      </c>
      <c r="AF51" s="261">
        <f t="shared" si="2"/>
        <v>0.07409299597936451</v>
      </c>
      <c r="AI51" s="53"/>
      <c r="AK51" s="114"/>
      <c r="AL51" s="84">
        <v>34</v>
      </c>
      <c r="AM51" s="97">
        <v>0.001584</v>
      </c>
      <c r="AN51" s="86">
        <v>96576</v>
      </c>
      <c r="AO51" s="94">
        <v>43.4</v>
      </c>
      <c r="AP51" s="94">
        <v>0.00083</v>
      </c>
      <c r="AQ51" s="86">
        <v>98190</v>
      </c>
      <c r="AR51" s="94">
        <v>47.64</v>
      </c>
      <c r="AS51" s="114"/>
      <c r="AT51" s="79"/>
      <c r="AU51" s="114"/>
    </row>
    <row r="52" spans="2:47" ht="15.75" thickBot="1">
      <c r="B52" s="207">
        <v>1982</v>
      </c>
      <c r="C52" s="207">
        <v>1982</v>
      </c>
      <c r="D52" s="208">
        <v>4.575</v>
      </c>
      <c r="E52" s="208">
        <v>0.825</v>
      </c>
      <c r="F52" s="209">
        <v>5.4</v>
      </c>
      <c r="G52" s="209"/>
      <c r="H52" s="208">
        <v>6.8125</v>
      </c>
      <c r="I52" s="208">
        <v>1.2375</v>
      </c>
      <c r="J52" s="209">
        <v>8.05</v>
      </c>
      <c r="K52" s="6"/>
      <c r="L52" s="1"/>
      <c r="M52" s="213" t="s">
        <v>39</v>
      </c>
      <c r="N52" s="213"/>
      <c r="O52" s="213"/>
      <c r="P52" s="213"/>
      <c r="Q52" s="213"/>
      <c r="R52" s="213"/>
      <c r="S52" s="213"/>
      <c r="T52" s="229"/>
      <c r="U52" s="213"/>
      <c r="V52" s="274">
        <f t="shared" si="0"/>
        <v>1984</v>
      </c>
      <c r="W52" s="259">
        <v>20526.613385168774</v>
      </c>
      <c r="X52" s="1"/>
      <c r="Y52" s="251">
        <v>1991</v>
      </c>
      <c r="Z52" s="252">
        <v>21811.6</v>
      </c>
      <c r="AA52" s="254">
        <v>0.0373</v>
      </c>
      <c r="AB52" s="1"/>
      <c r="AC52" s="221">
        <f t="shared" si="1"/>
        <v>1967</v>
      </c>
      <c r="AD52" s="259">
        <v>6555.202728542779</v>
      </c>
      <c r="AE52" s="260">
        <v>0.13314111785150823</v>
      </c>
      <c r="AF52" s="261">
        <f t="shared" si="2"/>
        <v>0.055896826447686905</v>
      </c>
      <c r="AI52" s="53"/>
      <c r="AK52" s="114"/>
      <c r="AL52" s="87">
        <v>35</v>
      </c>
      <c r="AM52" s="98">
        <v>0.001651</v>
      </c>
      <c r="AN52" s="89">
        <v>96423</v>
      </c>
      <c r="AO52" s="95">
        <v>42.47</v>
      </c>
      <c r="AP52" s="95">
        <v>0.000896</v>
      </c>
      <c r="AQ52" s="89">
        <v>98108</v>
      </c>
      <c r="AR52" s="95">
        <v>46.68</v>
      </c>
      <c r="AS52" s="114"/>
      <c r="AT52" s="79"/>
      <c r="AU52" s="114"/>
    </row>
    <row r="53" spans="2:47" ht="15.75" thickBot="1">
      <c r="B53" s="207">
        <v>1983</v>
      </c>
      <c r="C53" s="207">
        <v>1983</v>
      </c>
      <c r="D53" s="208">
        <v>4.775</v>
      </c>
      <c r="E53" s="208">
        <v>0.625</v>
      </c>
      <c r="F53" s="209">
        <v>5.4</v>
      </c>
      <c r="G53" s="209"/>
      <c r="H53" s="208">
        <v>7.1125</v>
      </c>
      <c r="I53" s="208">
        <v>0.9375</v>
      </c>
      <c r="J53" s="209">
        <v>8.05</v>
      </c>
      <c r="K53" s="6"/>
      <c r="L53" s="1"/>
      <c r="M53" s="213" t="s">
        <v>40</v>
      </c>
      <c r="N53" s="213"/>
      <c r="O53" s="213"/>
      <c r="P53" s="213"/>
      <c r="Q53" s="213"/>
      <c r="R53" s="213"/>
      <c r="S53" s="213"/>
      <c r="T53" s="229"/>
      <c r="U53" s="213"/>
      <c r="V53" s="274">
        <f t="shared" si="0"/>
        <v>1985</v>
      </c>
      <c r="W53" s="259">
        <v>21607.319556961374</v>
      </c>
      <c r="X53" s="1"/>
      <c r="Y53" s="251">
        <v>1992</v>
      </c>
      <c r="Z53" s="252">
        <v>22935.42</v>
      </c>
      <c r="AA53" s="254">
        <v>0.0515</v>
      </c>
      <c r="AB53" s="1"/>
      <c r="AC53" s="221">
        <f t="shared" si="1"/>
        <v>1968</v>
      </c>
      <c r="AD53" s="259">
        <v>7053.811504728738</v>
      </c>
      <c r="AE53" s="260">
        <v>0.1432682386410629</v>
      </c>
      <c r="AF53" s="261">
        <f t="shared" si="2"/>
        <v>0.0760630596541138</v>
      </c>
      <c r="AI53" s="53"/>
      <c r="AK53" s="114"/>
      <c r="AL53" s="87">
        <v>36</v>
      </c>
      <c r="AM53" s="98">
        <v>0.001737</v>
      </c>
      <c r="AN53" s="89">
        <v>96264</v>
      </c>
      <c r="AO53" s="95">
        <v>41.54</v>
      </c>
      <c r="AP53" s="95">
        <v>0.000971</v>
      </c>
      <c r="AQ53" s="89">
        <v>98020</v>
      </c>
      <c r="AR53" s="95">
        <v>45.72</v>
      </c>
      <c r="AS53" s="114"/>
      <c r="AT53" s="79"/>
      <c r="AU53" s="114"/>
    </row>
    <row r="54" spans="2:47" ht="15.75" thickBot="1">
      <c r="B54" s="210" t="s">
        <v>37</v>
      </c>
      <c r="C54" s="207">
        <v>1984</v>
      </c>
      <c r="D54" s="208">
        <v>5.2</v>
      </c>
      <c r="E54" s="208">
        <v>0.5</v>
      </c>
      <c r="F54" s="209">
        <v>5.7</v>
      </c>
      <c r="G54" s="209"/>
      <c r="H54" s="208">
        <v>10.4</v>
      </c>
      <c r="I54" s="208">
        <v>1</v>
      </c>
      <c r="J54" s="209">
        <v>11.4</v>
      </c>
      <c r="K54" s="6"/>
      <c r="L54" s="1"/>
      <c r="M54" s="400" t="s">
        <v>41</v>
      </c>
      <c r="N54" s="400"/>
      <c r="O54" s="400"/>
      <c r="P54" s="400"/>
      <c r="Q54" s="400"/>
      <c r="R54" s="400"/>
      <c r="S54" s="400"/>
      <c r="T54" s="400"/>
      <c r="U54" s="213"/>
      <c r="V54" s="274">
        <f t="shared" si="0"/>
        <v>1986</v>
      </c>
      <c r="W54" s="259">
        <v>22293.022366526864</v>
      </c>
      <c r="X54" s="1"/>
      <c r="Y54" s="251">
        <v>1993</v>
      </c>
      <c r="Z54" s="252">
        <v>23132.67</v>
      </c>
      <c r="AA54" s="254">
        <v>0.0086</v>
      </c>
      <c r="AB54" s="1"/>
      <c r="AC54" s="221">
        <f t="shared" si="1"/>
        <v>1969</v>
      </c>
      <c r="AD54" s="259">
        <v>7547.660099705453</v>
      </c>
      <c r="AE54" s="260">
        <v>0.15329867655540838</v>
      </c>
      <c r="AF54" s="261">
        <f t="shared" si="2"/>
        <v>0.07001159509942222</v>
      </c>
      <c r="AI54" s="53"/>
      <c r="AK54" s="114"/>
      <c r="AL54" s="87">
        <v>37</v>
      </c>
      <c r="AM54" s="98">
        <v>0.001845</v>
      </c>
      <c r="AN54" s="89">
        <v>96096</v>
      </c>
      <c r="AO54" s="95">
        <v>40.61</v>
      </c>
      <c r="AP54" s="95">
        <v>0.001056</v>
      </c>
      <c r="AQ54" s="89">
        <v>97925</v>
      </c>
      <c r="AR54" s="95">
        <v>44.76</v>
      </c>
      <c r="AS54" s="114"/>
      <c r="AT54" s="79"/>
      <c r="AU54" s="114"/>
    </row>
    <row r="55" spans="2:47" ht="15.75" thickBot="1">
      <c r="B55" s="210" t="s">
        <v>37</v>
      </c>
      <c r="C55" s="207">
        <v>1985</v>
      </c>
      <c r="D55" s="208">
        <v>5.2</v>
      </c>
      <c r="E55" s="208">
        <v>0.5</v>
      </c>
      <c r="F55" s="209">
        <v>5.7</v>
      </c>
      <c r="G55" s="209"/>
      <c r="H55" s="208">
        <v>10.4</v>
      </c>
      <c r="I55" s="208">
        <v>1</v>
      </c>
      <c r="J55" s="209">
        <v>11.4</v>
      </c>
      <c r="K55" s="6"/>
      <c r="L55" s="1"/>
      <c r="M55" s="400"/>
      <c r="N55" s="400"/>
      <c r="O55" s="400"/>
      <c r="P55" s="400"/>
      <c r="Q55" s="400"/>
      <c r="R55" s="400"/>
      <c r="S55" s="400"/>
      <c r="T55" s="400"/>
      <c r="U55" s="213"/>
      <c r="V55" s="274">
        <f t="shared" si="0"/>
        <v>1987</v>
      </c>
      <c r="W55" s="259">
        <v>23694.432888669016</v>
      </c>
      <c r="X55" s="1"/>
      <c r="Y55" s="251">
        <v>1994</v>
      </c>
      <c r="Z55" s="252">
        <v>23753.53</v>
      </c>
      <c r="AA55" s="254">
        <v>0.0268</v>
      </c>
      <c r="AB55" s="1"/>
      <c r="AC55" s="221">
        <f t="shared" si="1"/>
        <v>1970</v>
      </c>
      <c r="AD55" s="259">
        <v>8023.276610451579</v>
      </c>
      <c r="AE55" s="260">
        <v>0.16295880707031163</v>
      </c>
      <c r="AF55" s="261">
        <f t="shared" si="2"/>
        <v>0.06301509401101496</v>
      </c>
      <c r="AI55" s="53"/>
      <c r="AK55" s="114"/>
      <c r="AL55" s="87">
        <v>38</v>
      </c>
      <c r="AM55" s="98">
        <v>0.001979</v>
      </c>
      <c r="AN55" s="89">
        <v>95919</v>
      </c>
      <c r="AO55" s="95">
        <v>39.68</v>
      </c>
      <c r="AP55" s="95">
        <v>0.001153</v>
      </c>
      <c r="AQ55" s="89">
        <v>97822</v>
      </c>
      <c r="AR55" s="95">
        <v>43.81</v>
      </c>
      <c r="AS55" s="114"/>
      <c r="AT55" s="79"/>
      <c r="AU55" s="114"/>
    </row>
    <row r="56" spans="2:47" ht="15.75" thickBot="1">
      <c r="B56" s="210" t="s">
        <v>37</v>
      </c>
      <c r="C56" s="207">
        <v>1986</v>
      </c>
      <c r="D56" s="208">
        <v>5.2</v>
      </c>
      <c r="E56" s="208">
        <v>0.5</v>
      </c>
      <c r="F56" s="209">
        <v>5.7</v>
      </c>
      <c r="G56" s="209"/>
      <c r="H56" s="208">
        <v>10.4</v>
      </c>
      <c r="I56" s="208">
        <v>1</v>
      </c>
      <c r="J56" s="209">
        <v>11.4</v>
      </c>
      <c r="K56" s="6"/>
      <c r="L56" s="1"/>
      <c r="M56" s="400" t="s">
        <v>43</v>
      </c>
      <c r="N56" s="400"/>
      <c r="O56" s="400"/>
      <c r="P56" s="400"/>
      <c r="Q56" s="400"/>
      <c r="R56" s="400"/>
      <c r="S56" s="400"/>
      <c r="T56" s="400"/>
      <c r="U56" s="213"/>
      <c r="V56" s="274">
        <f t="shared" si="0"/>
        <v>1988</v>
      </c>
      <c r="W56" s="259">
        <v>25781.74499660349</v>
      </c>
      <c r="X56" s="1"/>
      <c r="Y56" s="251">
        <v>1995</v>
      </c>
      <c r="Z56" s="252">
        <v>24705.66</v>
      </c>
      <c r="AA56" s="254">
        <v>0.0401</v>
      </c>
      <c r="AB56" s="1"/>
      <c r="AC56" s="221">
        <f t="shared" si="1"/>
        <v>1971</v>
      </c>
      <c r="AD56" s="259">
        <v>8352.003711975429</v>
      </c>
      <c r="AE56" s="260">
        <v>0.16963550275424527</v>
      </c>
      <c r="AF56" s="261">
        <f t="shared" si="2"/>
        <v>0.04097167746848358</v>
      </c>
      <c r="AI56" s="53"/>
      <c r="AK56" s="114"/>
      <c r="AL56" s="87">
        <v>39</v>
      </c>
      <c r="AM56" s="98">
        <v>0.00214</v>
      </c>
      <c r="AN56" s="89">
        <v>95729</v>
      </c>
      <c r="AO56" s="95">
        <v>38.76</v>
      </c>
      <c r="AP56" s="95">
        <v>0.00126</v>
      </c>
      <c r="AQ56" s="89">
        <v>97709</v>
      </c>
      <c r="AR56" s="95">
        <v>42.86</v>
      </c>
      <c r="AS56" s="114"/>
      <c r="AT56" s="79"/>
      <c r="AU56" s="114"/>
    </row>
    <row r="57" spans="2:47" ht="15.75" thickBot="1">
      <c r="B57" s="210" t="s">
        <v>37</v>
      </c>
      <c r="C57" s="207">
        <v>1987</v>
      </c>
      <c r="D57" s="208">
        <v>5.2</v>
      </c>
      <c r="E57" s="208">
        <v>0.5</v>
      </c>
      <c r="F57" s="209">
        <v>5.7</v>
      </c>
      <c r="G57" s="209"/>
      <c r="H57" s="208">
        <v>10.4</v>
      </c>
      <c r="I57" s="208">
        <v>1</v>
      </c>
      <c r="J57" s="209">
        <v>11.4</v>
      </c>
      <c r="K57" s="6"/>
      <c r="L57" s="1"/>
      <c r="M57" s="401"/>
      <c r="N57" s="401"/>
      <c r="O57" s="401"/>
      <c r="P57" s="401"/>
      <c r="Q57" s="401"/>
      <c r="R57" s="401"/>
      <c r="S57" s="401"/>
      <c r="T57" s="401"/>
      <c r="U57" s="213"/>
      <c r="V57" s="274">
        <f t="shared" si="0"/>
        <v>1989</v>
      </c>
      <c r="W57" s="259">
        <v>26810.585441218307</v>
      </c>
      <c r="X57" s="1"/>
      <c r="Y57" s="251">
        <v>1996</v>
      </c>
      <c r="Z57" s="252">
        <v>25913.9</v>
      </c>
      <c r="AA57" s="254">
        <v>0.0489</v>
      </c>
      <c r="AB57" s="1"/>
      <c r="AC57" s="221">
        <f t="shared" si="1"/>
        <v>1972</v>
      </c>
      <c r="AD57" s="259">
        <v>8977.55291980617</v>
      </c>
      <c r="AE57" s="260">
        <v>0.182340879574868</v>
      </c>
      <c r="AF57" s="261">
        <f t="shared" si="2"/>
        <v>0.07489809983367281</v>
      </c>
      <c r="AI57" s="53"/>
      <c r="AK57" s="114"/>
      <c r="AL57" s="84">
        <v>40</v>
      </c>
      <c r="AM57" s="97">
        <v>0.002323</v>
      </c>
      <c r="AN57" s="86">
        <v>95525</v>
      </c>
      <c r="AO57" s="94">
        <v>37.84</v>
      </c>
      <c r="AP57" s="94">
        <v>0.001377</v>
      </c>
      <c r="AQ57" s="86">
        <v>97586</v>
      </c>
      <c r="AR57" s="94">
        <v>41.91</v>
      </c>
      <c r="AS57" s="114"/>
      <c r="AT57" s="79"/>
      <c r="AU57" s="114"/>
    </row>
    <row r="58" spans="2:47" ht="15.75" thickBot="1">
      <c r="B58" s="210" t="s">
        <v>42</v>
      </c>
      <c r="C58" s="207">
        <v>1988</v>
      </c>
      <c r="D58" s="208">
        <v>5.53</v>
      </c>
      <c r="E58" s="208">
        <v>0.53</v>
      </c>
      <c r="F58" s="209">
        <v>6.06</v>
      </c>
      <c r="G58" s="209"/>
      <c r="H58" s="208">
        <v>11.06</v>
      </c>
      <c r="I58" s="208">
        <v>1.06</v>
      </c>
      <c r="J58" s="209">
        <v>12.12</v>
      </c>
      <c r="K58" s="6"/>
      <c r="L58" s="1"/>
      <c r="M58" s="213"/>
      <c r="N58" s="213"/>
      <c r="O58" s="213"/>
      <c r="P58" s="213"/>
      <c r="Q58" s="213"/>
      <c r="R58" s="213"/>
      <c r="S58" s="213"/>
      <c r="T58" s="213"/>
      <c r="U58" s="213"/>
      <c r="V58" s="274">
        <f t="shared" si="0"/>
        <v>1990</v>
      </c>
      <c r="W58" s="259">
        <v>27948.878437655538</v>
      </c>
      <c r="X58" s="1"/>
      <c r="Y58" s="251">
        <v>1997</v>
      </c>
      <c r="Z58" s="252">
        <v>27426</v>
      </c>
      <c r="AA58" s="254">
        <v>0.0584</v>
      </c>
      <c r="AB58" s="1"/>
      <c r="AC58" s="221">
        <f t="shared" si="1"/>
        <v>1973</v>
      </c>
      <c r="AD58" s="259">
        <v>9734.090074386277</v>
      </c>
      <c r="AE58" s="260">
        <v>0.19770672051498275</v>
      </c>
      <c r="AF58" s="261">
        <f t="shared" si="2"/>
        <v>0.08426986299474136</v>
      </c>
      <c r="AI58" s="53"/>
      <c r="AK58" s="114"/>
      <c r="AL58" s="84">
        <v>41</v>
      </c>
      <c r="AM58" s="97">
        <v>0.002526</v>
      </c>
      <c r="AN58" s="86">
        <v>95303</v>
      </c>
      <c r="AO58" s="94">
        <v>36.93</v>
      </c>
      <c r="AP58" s="94">
        <v>0.001506</v>
      </c>
      <c r="AQ58" s="86">
        <v>97452</v>
      </c>
      <c r="AR58" s="94">
        <v>40.97</v>
      </c>
      <c r="AS58" s="114"/>
      <c r="AT58" s="79"/>
      <c r="AU58" s="114"/>
    </row>
    <row r="59" spans="2:47" ht="15.75" thickBot="1">
      <c r="B59" s="210" t="s">
        <v>42</v>
      </c>
      <c r="C59" s="207">
        <v>1989</v>
      </c>
      <c r="D59" s="208">
        <v>5.53</v>
      </c>
      <c r="E59" s="208">
        <v>0.53</v>
      </c>
      <c r="F59" s="209">
        <v>6.06</v>
      </c>
      <c r="G59" s="209"/>
      <c r="H59" s="208">
        <v>11.06</v>
      </c>
      <c r="I59" s="208">
        <v>1.06</v>
      </c>
      <c r="J59" s="209">
        <v>12.12</v>
      </c>
      <c r="K59" s="6"/>
      <c r="L59" s="1"/>
      <c r="M59" s="231" t="s">
        <v>102</v>
      </c>
      <c r="N59" s="55" t="s">
        <v>103</v>
      </c>
      <c r="O59" s="213"/>
      <c r="P59" s="213"/>
      <c r="Q59" s="213"/>
      <c r="R59" s="213"/>
      <c r="S59" s="213"/>
      <c r="T59" s="213"/>
      <c r="U59" s="213"/>
      <c r="V59" s="274">
        <f t="shared" si="0"/>
        <v>1991</v>
      </c>
      <c r="W59" s="259">
        <v>28122.679205126307</v>
      </c>
      <c r="X59" s="1"/>
      <c r="Y59" s="251">
        <v>1998</v>
      </c>
      <c r="Z59" s="252">
        <v>28861.44</v>
      </c>
      <c r="AA59" s="254">
        <v>0.0523</v>
      </c>
      <c r="AB59" s="1"/>
      <c r="AC59" s="221">
        <f t="shared" si="1"/>
        <v>1974</v>
      </c>
      <c r="AD59" s="259">
        <v>10484.621285395995</v>
      </c>
      <c r="AE59" s="260">
        <v>0.2129505762055441</v>
      </c>
      <c r="AF59" s="261">
        <f t="shared" si="2"/>
        <v>0.07710337640953446</v>
      </c>
      <c r="AI59" s="53"/>
      <c r="AK59" s="114"/>
      <c r="AL59" s="84">
        <v>42</v>
      </c>
      <c r="AM59" s="97">
        <v>0.00275</v>
      </c>
      <c r="AN59" s="86">
        <v>95062</v>
      </c>
      <c r="AO59" s="94">
        <v>36.02</v>
      </c>
      <c r="AP59" s="94">
        <v>0.00165</v>
      </c>
      <c r="AQ59" s="86">
        <v>97305</v>
      </c>
      <c r="AR59" s="94">
        <v>40.03</v>
      </c>
      <c r="AS59" s="114"/>
      <c r="AT59" s="79"/>
      <c r="AU59" s="114"/>
    </row>
    <row r="60" spans="2:47" ht="15.75" thickBot="1">
      <c r="B60" s="210" t="s">
        <v>44</v>
      </c>
      <c r="C60" s="207">
        <v>1990</v>
      </c>
      <c r="D60" s="208">
        <v>5.6</v>
      </c>
      <c r="E60" s="208">
        <v>0.6</v>
      </c>
      <c r="F60" s="209">
        <v>6.2</v>
      </c>
      <c r="G60" s="209"/>
      <c r="H60" s="208">
        <v>11.2</v>
      </c>
      <c r="I60" s="208">
        <v>1.2</v>
      </c>
      <c r="J60" s="209">
        <v>12.4</v>
      </c>
      <c r="K60" s="6"/>
      <c r="L60" s="1"/>
      <c r="M60" s="213"/>
      <c r="N60" s="213"/>
      <c r="O60" s="213"/>
      <c r="P60" s="213"/>
      <c r="Q60" s="213"/>
      <c r="R60" s="213"/>
      <c r="S60" s="213"/>
      <c r="T60" s="213"/>
      <c r="U60" s="213"/>
      <c r="V60" s="274">
        <f t="shared" si="0"/>
        <v>1992</v>
      </c>
      <c r="W60" s="259">
        <v>29077.16372214623</v>
      </c>
      <c r="X60" s="1"/>
      <c r="Y60" s="251">
        <v>1999</v>
      </c>
      <c r="Z60" s="252">
        <v>30469.84</v>
      </c>
      <c r="AA60" s="254">
        <v>0.0557</v>
      </c>
      <c r="AB60" s="1"/>
      <c r="AC60" s="221">
        <f t="shared" si="1"/>
        <v>1975</v>
      </c>
      <c r="AD60" s="259">
        <v>10838.312987712257</v>
      </c>
      <c r="AE60" s="260">
        <v>0.22013432178463138</v>
      </c>
      <c r="AF60" s="261">
        <f t="shared" si="2"/>
        <v>0.03373433266577961</v>
      </c>
      <c r="AI60" s="53"/>
      <c r="AK60" s="114"/>
      <c r="AL60" s="84">
        <v>43</v>
      </c>
      <c r="AM60" s="97">
        <v>0.002993</v>
      </c>
      <c r="AN60" s="86">
        <v>94800</v>
      </c>
      <c r="AO60" s="94">
        <v>35.12</v>
      </c>
      <c r="AP60" s="94">
        <v>0.00181</v>
      </c>
      <c r="AQ60" s="86">
        <v>97144</v>
      </c>
      <c r="AR60" s="94">
        <v>39.1</v>
      </c>
      <c r="AS60" s="114"/>
      <c r="AT60" s="79"/>
      <c r="AU60" s="114"/>
    </row>
    <row r="61" spans="2:47" ht="15.75" thickBot="1">
      <c r="B61" s="210" t="s">
        <v>44</v>
      </c>
      <c r="C61" s="207">
        <v>1991</v>
      </c>
      <c r="D61" s="208">
        <v>5.6</v>
      </c>
      <c r="E61" s="208">
        <v>0.6</v>
      </c>
      <c r="F61" s="209">
        <v>6.2</v>
      </c>
      <c r="G61" s="209"/>
      <c r="H61" s="208">
        <v>11.2</v>
      </c>
      <c r="I61" s="208">
        <v>1.2</v>
      </c>
      <c r="J61" s="209">
        <v>12.4</v>
      </c>
      <c r="K61" s="6"/>
      <c r="L61" s="1"/>
      <c r="M61" s="223" t="s">
        <v>111</v>
      </c>
      <c r="N61" s="223"/>
      <c r="O61" s="223"/>
      <c r="P61" s="223"/>
      <c r="Q61" s="223"/>
      <c r="R61" s="223"/>
      <c r="S61" s="213"/>
      <c r="T61" s="213"/>
      <c r="U61" s="213"/>
      <c r="V61" s="274">
        <f t="shared" si="0"/>
        <v>1993</v>
      </c>
      <c r="W61" s="259">
        <v>29356.991292489514</v>
      </c>
      <c r="X61" s="1"/>
      <c r="Y61" s="251">
        <v>2000</v>
      </c>
      <c r="Z61" s="252">
        <v>32154.82</v>
      </c>
      <c r="AA61" s="254">
        <v>0.0553</v>
      </c>
      <c r="AB61" s="1"/>
      <c r="AC61" s="221">
        <f t="shared" si="1"/>
        <v>1976</v>
      </c>
      <c r="AD61" s="259">
        <v>11738.415374843926</v>
      </c>
      <c r="AE61" s="260">
        <v>0.23841608101714287</v>
      </c>
      <c r="AF61" s="261">
        <f t="shared" si="2"/>
        <v>0.08304820022748405</v>
      </c>
      <c r="AI61" s="53"/>
      <c r="AK61" s="114"/>
      <c r="AL61" s="84">
        <v>44</v>
      </c>
      <c r="AM61" s="97">
        <v>0.003257</v>
      </c>
      <c r="AN61" s="86">
        <v>94517</v>
      </c>
      <c r="AO61" s="94">
        <v>34.22</v>
      </c>
      <c r="AP61" s="94">
        <v>0.001985</v>
      </c>
      <c r="AQ61" s="86">
        <v>96968</v>
      </c>
      <c r="AR61" s="94">
        <v>38.17</v>
      </c>
      <c r="AS61" s="114"/>
      <c r="AT61" s="79"/>
      <c r="AU61" s="114"/>
    </row>
    <row r="62" spans="2:47" ht="15.75" thickBot="1">
      <c r="B62" s="210" t="s">
        <v>44</v>
      </c>
      <c r="C62" s="207">
        <v>1992</v>
      </c>
      <c r="D62" s="208">
        <v>5.6</v>
      </c>
      <c r="E62" s="208">
        <v>0.6</v>
      </c>
      <c r="F62" s="209">
        <v>6.2</v>
      </c>
      <c r="G62" s="209"/>
      <c r="H62" s="208">
        <v>11.2</v>
      </c>
      <c r="I62" s="208">
        <v>1.2</v>
      </c>
      <c r="J62" s="209">
        <v>12.4</v>
      </c>
      <c r="K62" s="6"/>
      <c r="L62" s="1"/>
      <c r="M62" s="419" t="s">
        <v>104</v>
      </c>
      <c r="N62" s="420"/>
      <c r="O62" s="420"/>
      <c r="P62" s="420"/>
      <c r="Q62" s="420"/>
      <c r="R62" s="421"/>
      <c r="S62" s="213"/>
      <c r="T62" s="213"/>
      <c r="U62" s="213"/>
      <c r="V62" s="274">
        <f t="shared" si="0"/>
        <v>1994</v>
      </c>
      <c r="W62" s="259">
        <v>30511.935336398987</v>
      </c>
      <c r="X62" s="1"/>
      <c r="Y62" s="251">
        <v>2001</v>
      </c>
      <c r="Z62" s="252">
        <v>32921.92</v>
      </c>
      <c r="AA62" s="254">
        <v>0.0239</v>
      </c>
      <c r="AB62" s="1"/>
      <c r="AC62" s="221">
        <f t="shared" si="1"/>
        <v>1977</v>
      </c>
      <c r="AD62" s="259">
        <v>12625.619492543816</v>
      </c>
      <c r="AE62" s="260">
        <v>0.25643586665682866</v>
      </c>
      <c r="AF62" s="261">
        <f t="shared" si="2"/>
        <v>0.07558125090727473</v>
      </c>
      <c r="AI62" s="53"/>
      <c r="AK62" s="114"/>
      <c r="AL62" s="87">
        <v>45</v>
      </c>
      <c r="AM62" s="98">
        <v>0.003543</v>
      </c>
      <c r="AN62" s="89">
        <v>94209</v>
      </c>
      <c r="AO62" s="95">
        <v>33.33</v>
      </c>
      <c r="AP62" s="95">
        <v>0.002174</v>
      </c>
      <c r="AQ62" s="89">
        <v>96776</v>
      </c>
      <c r="AR62" s="95">
        <v>37.24</v>
      </c>
      <c r="AS62" s="114"/>
      <c r="AT62" s="79"/>
      <c r="AU62" s="114"/>
    </row>
    <row r="63" spans="2:47" ht="15.75" thickBot="1">
      <c r="B63" s="210" t="s">
        <v>44</v>
      </c>
      <c r="C63" s="207">
        <v>1993</v>
      </c>
      <c r="D63" s="208">
        <v>5.6</v>
      </c>
      <c r="E63" s="208">
        <v>0.6</v>
      </c>
      <c r="F63" s="209">
        <v>6.2</v>
      </c>
      <c r="G63" s="209"/>
      <c r="H63" s="208">
        <v>11.2</v>
      </c>
      <c r="I63" s="208">
        <v>1.2</v>
      </c>
      <c r="J63" s="209">
        <v>12.4</v>
      </c>
      <c r="K63" s="6"/>
      <c r="L63" s="1"/>
      <c r="M63" s="232" t="s">
        <v>105</v>
      </c>
      <c r="N63" s="233">
        <v>3000</v>
      </c>
      <c r="O63" s="234">
        <v>1982</v>
      </c>
      <c r="P63" s="235">
        <v>32400</v>
      </c>
      <c r="Q63" s="234">
        <v>1998</v>
      </c>
      <c r="R63" s="236">
        <v>68400</v>
      </c>
      <c r="S63" s="213"/>
      <c r="T63" s="213"/>
      <c r="U63" s="213"/>
      <c r="V63" s="274">
        <f t="shared" si="0"/>
        <v>1995</v>
      </c>
      <c r="W63" s="259">
        <v>32143.55760427562</v>
      </c>
      <c r="X63" s="1"/>
      <c r="Y63" s="251">
        <v>2002</v>
      </c>
      <c r="Z63" s="252">
        <v>33252.09</v>
      </c>
      <c r="AA63" s="254">
        <v>0.01</v>
      </c>
      <c r="AB63" s="1"/>
      <c r="AC63" s="221">
        <f t="shared" si="1"/>
        <v>1978</v>
      </c>
      <c r="AD63" s="259">
        <v>13838.165780499685</v>
      </c>
      <c r="AE63" s="260">
        <v>0.2810635974701256</v>
      </c>
      <c r="AF63" s="261">
        <f t="shared" si="2"/>
        <v>0.09603855784438539</v>
      </c>
      <c r="AI63" s="53"/>
      <c r="AK63" s="114"/>
      <c r="AL63" s="87">
        <v>46</v>
      </c>
      <c r="AM63" s="98">
        <v>0.003856</v>
      </c>
      <c r="AN63" s="89">
        <v>93875</v>
      </c>
      <c r="AO63" s="95">
        <v>32.45</v>
      </c>
      <c r="AP63" s="95">
        <v>0.002375</v>
      </c>
      <c r="AQ63" s="89">
        <v>96566</v>
      </c>
      <c r="AR63" s="95">
        <v>36.32</v>
      </c>
      <c r="AS63" s="114"/>
      <c r="AT63" s="79"/>
      <c r="AU63" s="114"/>
    </row>
    <row r="64" spans="2:47" ht="15.75" thickBot="1">
      <c r="B64" s="210" t="s">
        <v>45</v>
      </c>
      <c r="C64" s="207">
        <v>1994</v>
      </c>
      <c r="D64" s="208">
        <v>5.26</v>
      </c>
      <c r="E64" s="208">
        <v>0.94</v>
      </c>
      <c r="F64" s="209">
        <v>6.2</v>
      </c>
      <c r="G64" s="209"/>
      <c r="H64" s="208">
        <v>10.52</v>
      </c>
      <c r="I64" s="208">
        <v>1.88</v>
      </c>
      <c r="J64" s="209">
        <v>12.4</v>
      </c>
      <c r="K64" s="6"/>
      <c r="L64" s="1"/>
      <c r="M64" s="237" t="s">
        <v>106</v>
      </c>
      <c r="N64" s="238">
        <v>3600</v>
      </c>
      <c r="O64" s="234">
        <v>1983</v>
      </c>
      <c r="P64" s="239">
        <v>35700</v>
      </c>
      <c r="Q64" s="234">
        <v>1999</v>
      </c>
      <c r="R64" s="240">
        <v>72600</v>
      </c>
      <c r="S64" s="213"/>
      <c r="T64" s="213"/>
      <c r="U64" s="213"/>
      <c r="V64" s="274">
        <f t="shared" si="0"/>
        <v>1996</v>
      </c>
      <c r="W64" s="259">
        <v>33764.75087506698</v>
      </c>
      <c r="X64" s="1"/>
      <c r="Y64" s="251">
        <v>2003</v>
      </c>
      <c r="Z64" s="252">
        <v>34064.95</v>
      </c>
      <c r="AA64" s="254">
        <v>0.0244</v>
      </c>
      <c r="AB64" s="1"/>
      <c r="AC64" s="221">
        <f t="shared" si="1"/>
        <v>1979</v>
      </c>
      <c r="AD64" s="259">
        <v>15148.56157821527</v>
      </c>
      <c r="AE64" s="260">
        <v>0.3076787257217817</v>
      </c>
      <c r="AF64" s="261">
        <f t="shared" si="2"/>
        <v>0.0946943271601902</v>
      </c>
      <c r="AI64" s="53"/>
      <c r="AK64" s="114"/>
      <c r="AL64" s="87">
        <v>47</v>
      </c>
      <c r="AM64" s="98">
        <v>0.004208</v>
      </c>
      <c r="AN64" s="89">
        <v>93513</v>
      </c>
      <c r="AO64" s="95">
        <v>31.57</v>
      </c>
      <c r="AP64" s="95">
        <v>0.002582</v>
      </c>
      <c r="AQ64" s="89">
        <v>96336</v>
      </c>
      <c r="AR64" s="95">
        <v>35.41</v>
      </c>
      <c r="AS64" s="114"/>
      <c r="AT64" s="79"/>
      <c r="AU64" s="114"/>
    </row>
    <row r="65" spans="2:47" ht="15.75" thickBot="1">
      <c r="B65" s="210" t="s">
        <v>46</v>
      </c>
      <c r="C65" s="207">
        <v>1995</v>
      </c>
      <c r="D65" s="208">
        <v>5.35</v>
      </c>
      <c r="E65" s="208">
        <v>0.85</v>
      </c>
      <c r="F65" s="209">
        <v>6.2</v>
      </c>
      <c r="G65" s="209"/>
      <c r="H65" s="208">
        <v>10.7</v>
      </c>
      <c r="I65" s="208">
        <v>1.7</v>
      </c>
      <c r="J65" s="209">
        <v>12.4</v>
      </c>
      <c r="K65" s="6"/>
      <c r="L65" s="1"/>
      <c r="M65" s="237" t="s">
        <v>107</v>
      </c>
      <c r="N65" s="238">
        <v>4200</v>
      </c>
      <c r="O65" s="234">
        <v>1984</v>
      </c>
      <c r="P65" s="241">
        <v>37800</v>
      </c>
      <c r="Q65" s="242">
        <v>2000</v>
      </c>
      <c r="R65" s="243">
        <v>76200</v>
      </c>
      <c r="S65" s="213"/>
      <c r="T65" s="213"/>
      <c r="U65" s="213"/>
      <c r="V65" s="274">
        <f t="shared" si="0"/>
        <v>1997</v>
      </c>
      <c r="W65" s="259">
        <v>35859.95106499226</v>
      </c>
      <c r="X65" s="1"/>
      <c r="Y65" s="251">
        <v>2004</v>
      </c>
      <c r="Z65" s="252">
        <v>35648.55</v>
      </c>
      <c r="AA65" s="254">
        <v>0.0465</v>
      </c>
      <c r="AB65" s="1"/>
      <c r="AC65" s="221">
        <f t="shared" si="1"/>
        <v>1980</v>
      </c>
      <c r="AD65" s="259">
        <v>16379.339703052718</v>
      </c>
      <c r="AE65" s="260">
        <v>0.33267675891067566</v>
      </c>
      <c r="AF65" s="261">
        <f t="shared" si="2"/>
        <v>0.08124719422914681</v>
      </c>
      <c r="AI65" s="53"/>
      <c r="AK65" s="114"/>
      <c r="AL65" s="87">
        <v>48</v>
      </c>
      <c r="AM65" s="98">
        <v>0.004603</v>
      </c>
      <c r="AN65" s="89">
        <v>93120</v>
      </c>
      <c r="AO65" s="95">
        <v>30.71</v>
      </c>
      <c r="AP65" s="95">
        <v>0.002794</v>
      </c>
      <c r="AQ65" s="89">
        <v>96087</v>
      </c>
      <c r="AR65" s="95">
        <v>34.5</v>
      </c>
      <c r="AS65" s="114"/>
      <c r="AT65" s="79"/>
      <c r="AU65" s="114"/>
    </row>
    <row r="66" spans="2:47" ht="15.75" thickBot="1">
      <c r="B66" s="207" t="s">
        <v>71</v>
      </c>
      <c r="C66" s="207">
        <v>1996</v>
      </c>
      <c r="D66" s="208">
        <v>5.3</v>
      </c>
      <c r="E66" s="208">
        <v>0.9</v>
      </c>
      <c r="F66" s="209">
        <v>6.2</v>
      </c>
      <c r="G66" s="209"/>
      <c r="H66" s="208">
        <v>10.6</v>
      </c>
      <c r="I66" s="208">
        <v>1.8</v>
      </c>
      <c r="J66" s="209">
        <v>12.4</v>
      </c>
      <c r="K66" s="6"/>
      <c r="L66" s="1"/>
      <c r="M66" s="237" t="s">
        <v>108</v>
      </c>
      <c r="N66" s="238">
        <v>4800</v>
      </c>
      <c r="O66" s="234">
        <v>1985</v>
      </c>
      <c r="P66" s="241">
        <v>39600</v>
      </c>
      <c r="Q66" s="242">
        <v>2001</v>
      </c>
      <c r="R66" s="240">
        <v>80400</v>
      </c>
      <c r="S66" s="213"/>
      <c r="T66" s="213"/>
      <c r="U66" s="213"/>
      <c r="V66" s="274">
        <f t="shared" si="0"/>
        <v>1998</v>
      </c>
      <c r="W66" s="259">
        <v>38128.568044023785</v>
      </c>
      <c r="X66" s="1"/>
      <c r="Y66" s="251">
        <v>2005</v>
      </c>
      <c r="Z66" s="252">
        <v>36952.94</v>
      </c>
      <c r="AA66" s="254">
        <v>0.0366</v>
      </c>
      <c r="AB66" s="1"/>
      <c r="AC66" s="221">
        <f t="shared" si="1"/>
        <v>1981</v>
      </c>
      <c r="AD66" s="259">
        <v>17783.749251628273</v>
      </c>
      <c r="AE66" s="260">
        <v>0.3612013774407037</v>
      </c>
      <c r="AF66" s="261">
        <f t="shared" si="2"/>
        <v>0.08574274507010846</v>
      </c>
      <c r="AI66" s="53"/>
      <c r="AK66" s="114"/>
      <c r="AL66" s="87">
        <v>49</v>
      </c>
      <c r="AM66" s="98">
        <v>0.005037</v>
      </c>
      <c r="AN66" s="89">
        <v>92691</v>
      </c>
      <c r="AO66" s="95">
        <v>29.84</v>
      </c>
      <c r="AP66" s="95">
        <v>0.003012</v>
      </c>
      <c r="AQ66" s="89">
        <v>95819</v>
      </c>
      <c r="AR66" s="95">
        <v>33.59</v>
      </c>
      <c r="AS66" s="114"/>
      <c r="AT66" s="79"/>
      <c r="AU66" s="114"/>
    </row>
    <row r="67" spans="2:47" ht="15.75" thickBot="1">
      <c r="B67" s="207" t="s">
        <v>71</v>
      </c>
      <c r="C67" s="207">
        <v>1997</v>
      </c>
      <c r="D67" s="208">
        <v>5.3</v>
      </c>
      <c r="E67" s="208">
        <v>0.9</v>
      </c>
      <c r="F67" s="209">
        <v>6.2</v>
      </c>
      <c r="G67" s="209"/>
      <c r="H67" s="208">
        <v>10.6</v>
      </c>
      <c r="I67" s="208">
        <v>1.8</v>
      </c>
      <c r="J67" s="209">
        <v>12.4</v>
      </c>
      <c r="K67" s="6"/>
      <c r="L67" s="1"/>
      <c r="M67" s="237" t="s">
        <v>109</v>
      </c>
      <c r="N67" s="238">
        <v>6600</v>
      </c>
      <c r="O67" s="234">
        <v>1986</v>
      </c>
      <c r="P67" s="241">
        <v>42000</v>
      </c>
      <c r="Q67" s="242">
        <v>2002</v>
      </c>
      <c r="R67" s="240">
        <v>84900</v>
      </c>
      <c r="S67" s="213"/>
      <c r="T67" s="213"/>
      <c r="U67" s="213"/>
      <c r="V67" s="274">
        <f t="shared" si="0"/>
        <v>1999</v>
      </c>
      <c r="W67" s="262">
        <v>40454.45995576461</v>
      </c>
      <c r="X67" s="1"/>
      <c r="Y67" s="251">
        <v>2006</v>
      </c>
      <c r="Z67" s="252">
        <v>38651.41</v>
      </c>
      <c r="AA67" s="254">
        <v>0.046</v>
      </c>
      <c r="AB67" s="1"/>
      <c r="AC67" s="221">
        <f t="shared" si="1"/>
        <v>1982</v>
      </c>
      <c r="AD67" s="259">
        <v>18479.091904558405</v>
      </c>
      <c r="AE67" s="260">
        <v>0.37532431183872667</v>
      </c>
      <c r="AF67" s="261">
        <f t="shared" si="2"/>
        <v>0.03909989075371534</v>
      </c>
      <c r="AI67" s="53"/>
      <c r="AK67" s="114"/>
      <c r="AL67" s="84">
        <v>50</v>
      </c>
      <c r="AM67" s="97">
        <v>0.005512</v>
      </c>
      <c r="AN67" s="86">
        <v>92224</v>
      </c>
      <c r="AO67" s="94">
        <v>28.99</v>
      </c>
      <c r="AP67" s="94">
        <v>0.003255</v>
      </c>
      <c r="AQ67" s="86">
        <v>95530</v>
      </c>
      <c r="AR67" s="94">
        <v>32.69</v>
      </c>
      <c r="AS67" s="114"/>
      <c r="AT67" s="79"/>
      <c r="AU67" s="114"/>
    </row>
    <row r="68" spans="2:47" ht="15.75" thickBot="1">
      <c r="B68" s="207" t="s">
        <v>71</v>
      </c>
      <c r="C68" s="207">
        <v>1998</v>
      </c>
      <c r="D68" s="208">
        <v>5.3</v>
      </c>
      <c r="E68" s="208">
        <v>0.9</v>
      </c>
      <c r="F68" s="209">
        <v>6.2</v>
      </c>
      <c r="G68" s="209"/>
      <c r="H68" s="208">
        <v>10.6</v>
      </c>
      <c r="I68" s="208">
        <v>1.8</v>
      </c>
      <c r="J68" s="209">
        <v>12.4</v>
      </c>
      <c r="K68" s="6"/>
      <c r="L68" s="1"/>
      <c r="M68" s="237" t="s">
        <v>110</v>
      </c>
      <c r="N68" s="238">
        <v>7800</v>
      </c>
      <c r="O68" s="234">
        <v>1987</v>
      </c>
      <c r="P68" s="241">
        <v>43800</v>
      </c>
      <c r="Q68" s="242">
        <v>2003</v>
      </c>
      <c r="R68" s="240">
        <v>87000</v>
      </c>
      <c r="S68" s="213"/>
      <c r="T68" s="213"/>
      <c r="U68" s="213"/>
      <c r="V68" s="274">
        <f t="shared" si="0"/>
        <v>2000</v>
      </c>
      <c r="W68" s="262">
        <v>42478.731795808315</v>
      </c>
      <c r="X68" s="1"/>
      <c r="Y68" s="251">
        <v>2007</v>
      </c>
      <c r="Z68" s="252">
        <v>40405.48</v>
      </c>
      <c r="AA68" s="254">
        <v>0.0454</v>
      </c>
      <c r="AB68" s="1"/>
      <c r="AC68" s="221">
        <f t="shared" si="1"/>
        <v>1983</v>
      </c>
      <c r="AD68" s="259">
        <v>19077.37488788619</v>
      </c>
      <c r="AE68" s="260">
        <v>0.3874758910484675</v>
      </c>
      <c r="AF68" s="261">
        <f t="shared" si="2"/>
        <v>0.03237621125636605</v>
      </c>
      <c r="AI68" s="53"/>
      <c r="AK68" s="114"/>
      <c r="AL68" s="84">
        <v>51</v>
      </c>
      <c r="AM68" s="97">
        <v>0.006008</v>
      </c>
      <c r="AN68" s="86">
        <v>91716</v>
      </c>
      <c r="AO68" s="94">
        <v>28.15</v>
      </c>
      <c r="AP68" s="94">
        <v>0.003517</v>
      </c>
      <c r="AQ68" s="86">
        <v>95219</v>
      </c>
      <c r="AR68" s="94">
        <v>31.8</v>
      </c>
      <c r="AS68" s="114"/>
      <c r="AT68" s="79"/>
      <c r="AU68" s="114"/>
    </row>
    <row r="69" spans="2:47" ht="15.75" thickBot="1">
      <c r="B69" s="207" t="s">
        <v>71</v>
      </c>
      <c r="C69" s="207">
        <v>1999</v>
      </c>
      <c r="D69" s="208">
        <v>5.3</v>
      </c>
      <c r="E69" s="208">
        <v>0.9</v>
      </c>
      <c r="F69" s="209">
        <v>6.2</v>
      </c>
      <c r="G69" s="209"/>
      <c r="H69" s="208">
        <v>10.6</v>
      </c>
      <c r="I69" s="208">
        <v>1.8</v>
      </c>
      <c r="J69" s="209">
        <v>12.4</v>
      </c>
      <c r="K69" s="6"/>
      <c r="L69" s="1"/>
      <c r="M69" s="237">
        <v>1972</v>
      </c>
      <c r="N69" s="238">
        <v>9000</v>
      </c>
      <c r="O69" s="234">
        <v>1988</v>
      </c>
      <c r="P69" s="241">
        <v>45000</v>
      </c>
      <c r="Q69" s="242">
        <v>2004</v>
      </c>
      <c r="R69" s="240">
        <v>87900</v>
      </c>
      <c r="S69" s="213"/>
      <c r="T69" s="213"/>
      <c r="U69" s="213"/>
      <c r="V69" s="274">
        <f t="shared" si="0"/>
        <v>2001</v>
      </c>
      <c r="W69" s="262">
        <v>42646.01958503604</v>
      </c>
      <c r="X69" s="1"/>
      <c r="Y69" s="251">
        <v>2008</v>
      </c>
      <c r="Z69" s="252">
        <v>41334.97</v>
      </c>
      <c r="AA69" s="254">
        <v>0.023</v>
      </c>
      <c r="AB69" s="1"/>
      <c r="AC69" s="221">
        <f t="shared" si="1"/>
        <v>1984</v>
      </c>
      <c r="AD69" s="259">
        <v>20526.613385168774</v>
      </c>
      <c r="AE69" s="260">
        <v>0.41691101938118597</v>
      </c>
      <c r="AF69" s="261">
        <f t="shared" si="2"/>
        <v>0.07596634787539998</v>
      </c>
      <c r="AI69" s="53"/>
      <c r="AK69" s="114"/>
      <c r="AL69" s="84">
        <v>52</v>
      </c>
      <c r="AM69" s="97">
        <v>0.0065</v>
      </c>
      <c r="AN69" s="86">
        <v>91165</v>
      </c>
      <c r="AO69" s="94">
        <v>27.32</v>
      </c>
      <c r="AP69" s="94">
        <v>0.003782</v>
      </c>
      <c r="AQ69" s="86">
        <v>94885</v>
      </c>
      <c r="AR69" s="94">
        <v>30.91</v>
      </c>
      <c r="AS69" s="114"/>
      <c r="AT69" s="79"/>
      <c r="AU69" s="114"/>
    </row>
    <row r="70" spans="2:47" ht="15.75" thickBot="1">
      <c r="B70" s="207" t="s">
        <v>71</v>
      </c>
      <c r="C70" s="207">
        <v>2000</v>
      </c>
      <c r="D70" s="208">
        <v>5.3</v>
      </c>
      <c r="E70" s="208">
        <v>0.9</v>
      </c>
      <c r="F70" s="209">
        <v>6.2</v>
      </c>
      <c r="G70" s="209"/>
      <c r="H70" s="208">
        <v>10.6</v>
      </c>
      <c r="I70" s="208">
        <v>1.8</v>
      </c>
      <c r="J70" s="209">
        <v>12.4</v>
      </c>
      <c r="K70" s="6"/>
      <c r="L70" s="1"/>
      <c r="M70" s="237">
        <v>1973</v>
      </c>
      <c r="N70" s="238">
        <v>10800</v>
      </c>
      <c r="O70" s="234">
        <v>1989</v>
      </c>
      <c r="P70" s="241">
        <v>48000</v>
      </c>
      <c r="Q70" s="242">
        <v>2005</v>
      </c>
      <c r="R70" s="240">
        <v>90000</v>
      </c>
      <c r="S70" s="213"/>
      <c r="T70" s="213"/>
      <c r="U70" s="213"/>
      <c r="V70" s="274">
        <f t="shared" si="0"/>
        <v>2002</v>
      </c>
      <c r="W70" s="259">
        <v>41682.390637307566</v>
      </c>
      <c r="X70" s="1"/>
      <c r="Y70" s="251">
        <v>2009</v>
      </c>
      <c r="Z70" s="252">
        <v>40711.61</v>
      </c>
      <c r="AA70" s="254">
        <v>-0.0151</v>
      </c>
      <c r="AB70" s="1"/>
      <c r="AC70" s="221">
        <f t="shared" si="1"/>
        <v>1985</v>
      </c>
      <c r="AD70" s="259">
        <v>21607.319556961374</v>
      </c>
      <c r="AE70" s="260">
        <v>0.4388609778706432</v>
      </c>
      <c r="AF70" s="261">
        <f t="shared" si="2"/>
        <v>0.0526490245377472</v>
      </c>
      <c r="AI70" s="53"/>
      <c r="AK70" s="114"/>
      <c r="AL70" s="84">
        <v>53</v>
      </c>
      <c r="AM70" s="97">
        <v>0.006977</v>
      </c>
      <c r="AN70" s="86">
        <v>90572</v>
      </c>
      <c r="AO70" s="94">
        <v>26.49</v>
      </c>
      <c r="AP70" s="94">
        <v>0.004045</v>
      </c>
      <c r="AQ70" s="86">
        <v>94526</v>
      </c>
      <c r="AR70" s="94">
        <v>30.02</v>
      </c>
      <c r="AS70" s="114"/>
      <c r="AT70" s="79"/>
      <c r="AU70" s="114"/>
    </row>
    <row r="71" spans="2:48" ht="15.75" thickBot="1">
      <c r="B71" s="207" t="s">
        <v>71</v>
      </c>
      <c r="C71" s="207">
        <v>2001</v>
      </c>
      <c r="D71" s="208">
        <v>5.3</v>
      </c>
      <c r="E71" s="208">
        <v>0.9</v>
      </c>
      <c r="F71" s="209">
        <v>6.2</v>
      </c>
      <c r="G71" s="209"/>
      <c r="H71" s="208">
        <v>10.6</v>
      </c>
      <c r="I71" s="208">
        <v>1.8</v>
      </c>
      <c r="J71" s="209">
        <v>12.4</v>
      </c>
      <c r="K71" s="6"/>
      <c r="L71" s="1"/>
      <c r="M71" s="237">
        <v>1974</v>
      </c>
      <c r="N71" s="238">
        <v>13200</v>
      </c>
      <c r="O71" s="234">
        <v>1990</v>
      </c>
      <c r="P71" s="241">
        <v>51300</v>
      </c>
      <c r="Q71" s="242">
        <v>2006</v>
      </c>
      <c r="R71" s="240">
        <v>94200</v>
      </c>
      <c r="S71" s="213"/>
      <c r="T71" s="213"/>
      <c r="U71" s="213"/>
      <c r="V71" s="274">
        <f aca="true" t="shared" si="3" ref="V71:V78">V70+1</f>
        <v>2003</v>
      </c>
      <c r="W71" s="259">
        <v>42028.709050310754</v>
      </c>
      <c r="X71" s="1"/>
      <c r="Y71" s="251">
        <v>2010</v>
      </c>
      <c r="Z71" s="252">
        <v>41673.83</v>
      </c>
      <c r="AA71" s="254">
        <v>0.0236</v>
      </c>
      <c r="AB71" s="1"/>
      <c r="AC71" s="221">
        <f t="shared" si="1"/>
        <v>1986</v>
      </c>
      <c r="AD71" s="259">
        <v>22293.022366526864</v>
      </c>
      <c r="AE71" s="260">
        <v>0.4527881197700005</v>
      </c>
      <c r="AF71" s="261">
        <f t="shared" si="2"/>
        <v>0.03173474654076526</v>
      </c>
      <c r="AI71" s="53"/>
      <c r="AJ71" s="2"/>
      <c r="AK71" s="114"/>
      <c r="AL71" s="84">
        <v>54</v>
      </c>
      <c r="AM71" s="97">
        <v>0.007456</v>
      </c>
      <c r="AN71" s="86">
        <v>89940</v>
      </c>
      <c r="AO71" s="94">
        <v>25.68</v>
      </c>
      <c r="AP71" s="94">
        <v>0.004318</v>
      </c>
      <c r="AQ71" s="86">
        <v>94143</v>
      </c>
      <c r="AR71" s="94">
        <v>29.14</v>
      </c>
      <c r="AS71" s="114"/>
      <c r="AT71" s="79"/>
      <c r="AU71" s="114"/>
      <c r="AV71" s="2"/>
    </row>
    <row r="72" spans="2:48" ht="15.75" thickBot="1">
      <c r="B72" s="207" t="s">
        <v>71</v>
      </c>
      <c r="C72" s="207">
        <v>2002</v>
      </c>
      <c r="D72" s="208">
        <v>5.3</v>
      </c>
      <c r="E72" s="208">
        <v>0.9</v>
      </c>
      <c r="F72" s="209">
        <v>6.2</v>
      </c>
      <c r="G72" s="209"/>
      <c r="H72" s="208">
        <v>10.6</v>
      </c>
      <c r="I72" s="208">
        <v>1.8</v>
      </c>
      <c r="J72" s="209">
        <v>12.4</v>
      </c>
      <c r="K72" s="7"/>
      <c r="L72" s="1"/>
      <c r="M72" s="237">
        <v>1975</v>
      </c>
      <c r="N72" s="238">
        <v>14100</v>
      </c>
      <c r="O72" s="234">
        <v>1991</v>
      </c>
      <c r="P72" s="241">
        <v>53400</v>
      </c>
      <c r="Q72" s="242">
        <v>2007</v>
      </c>
      <c r="R72" s="240">
        <v>97500</v>
      </c>
      <c r="S72" s="213"/>
      <c r="T72" s="213"/>
      <c r="U72" s="213"/>
      <c r="V72" s="274">
        <f t="shared" si="3"/>
        <v>2004</v>
      </c>
      <c r="W72" s="259">
        <v>44333.69793094709</v>
      </c>
      <c r="X72" s="1"/>
      <c r="Y72" s="251">
        <v>2011</v>
      </c>
      <c r="Z72" s="252">
        <v>42979.61</v>
      </c>
      <c r="AA72" s="254">
        <v>0.0313</v>
      </c>
      <c r="AB72" s="1"/>
      <c r="AC72" s="221">
        <f t="shared" si="1"/>
        <v>1987</v>
      </c>
      <c r="AD72" s="259">
        <v>23694.432888669016</v>
      </c>
      <c r="AE72" s="260">
        <v>0.48125182580832615</v>
      </c>
      <c r="AF72" s="261">
        <f t="shared" si="2"/>
        <v>0.06286319096177737</v>
      </c>
      <c r="AI72" s="53"/>
      <c r="AJ72" s="9"/>
      <c r="AK72" s="114"/>
      <c r="AL72" s="87">
        <v>55</v>
      </c>
      <c r="AM72" s="98">
        <v>0.007975</v>
      </c>
      <c r="AN72" s="89">
        <v>89270</v>
      </c>
      <c r="AO72" s="95">
        <v>24.87</v>
      </c>
      <c r="AP72" s="95">
        <v>0.004619</v>
      </c>
      <c r="AQ72" s="89">
        <v>93737</v>
      </c>
      <c r="AR72" s="95">
        <v>28.27</v>
      </c>
      <c r="AS72" s="114"/>
      <c r="AT72" s="79"/>
      <c r="AU72" s="114"/>
      <c r="AV72" s="9"/>
    </row>
    <row r="73" spans="2:48" ht="15.75" thickBot="1">
      <c r="B73" s="207" t="s">
        <v>71</v>
      </c>
      <c r="C73" s="207">
        <v>2003</v>
      </c>
      <c r="D73" s="208">
        <v>5.3</v>
      </c>
      <c r="E73" s="208">
        <v>0.9</v>
      </c>
      <c r="F73" s="209">
        <v>6.2</v>
      </c>
      <c r="G73" s="209"/>
      <c r="H73" s="208">
        <v>10.6</v>
      </c>
      <c r="I73" s="208">
        <v>1.8</v>
      </c>
      <c r="J73" s="209">
        <v>12.4</v>
      </c>
      <c r="K73" s="7"/>
      <c r="L73" s="1"/>
      <c r="M73" s="237">
        <v>1976</v>
      </c>
      <c r="N73" s="238">
        <v>15300</v>
      </c>
      <c r="O73" s="234">
        <v>1992</v>
      </c>
      <c r="P73" s="241">
        <v>55500</v>
      </c>
      <c r="Q73" s="242">
        <v>2008</v>
      </c>
      <c r="R73" s="240">
        <v>102000</v>
      </c>
      <c r="S73" s="213"/>
      <c r="T73" s="213"/>
      <c r="U73" s="213"/>
      <c r="V73" s="274">
        <f t="shared" si="3"/>
        <v>2005</v>
      </c>
      <c r="W73" s="259">
        <v>46820.42897978489</v>
      </c>
      <c r="X73" s="1"/>
      <c r="Y73" s="1"/>
      <c r="Z73" s="1"/>
      <c r="AA73" s="1"/>
      <c r="AB73" s="1"/>
      <c r="AC73" s="221">
        <f t="shared" si="1"/>
        <v>1988</v>
      </c>
      <c r="AD73" s="259">
        <v>25781.74499660349</v>
      </c>
      <c r="AE73" s="260">
        <v>0.5236467110412902</v>
      </c>
      <c r="AF73" s="261">
        <f t="shared" si="2"/>
        <v>0.08809293380187437</v>
      </c>
      <c r="AI73" s="53"/>
      <c r="AJ73" s="9"/>
      <c r="AK73" s="114"/>
      <c r="AL73" s="87">
        <v>56</v>
      </c>
      <c r="AM73" s="98">
        <v>0.008551</v>
      </c>
      <c r="AN73" s="89">
        <v>88558</v>
      </c>
      <c r="AO73" s="95">
        <v>24.06</v>
      </c>
      <c r="AP73" s="95">
        <v>0.004965</v>
      </c>
      <c r="AQ73" s="89">
        <v>93304</v>
      </c>
      <c r="AR73" s="95">
        <v>27.4</v>
      </c>
      <c r="AS73" s="114"/>
      <c r="AT73" s="79"/>
      <c r="AU73" s="114"/>
      <c r="AV73" s="9"/>
    </row>
    <row r="74" spans="2:48" ht="15.75" thickBot="1">
      <c r="B74" s="207" t="s">
        <v>71</v>
      </c>
      <c r="C74" s="207">
        <v>2004</v>
      </c>
      <c r="D74" s="208">
        <v>5.3</v>
      </c>
      <c r="E74" s="208">
        <v>0.9</v>
      </c>
      <c r="F74" s="209">
        <v>6.2</v>
      </c>
      <c r="G74" s="209"/>
      <c r="H74" s="208">
        <v>10.6</v>
      </c>
      <c r="I74" s="208">
        <v>1.8</v>
      </c>
      <c r="J74" s="209">
        <v>12.4</v>
      </c>
      <c r="K74" s="7"/>
      <c r="L74" s="1"/>
      <c r="M74" s="237">
        <v>1977</v>
      </c>
      <c r="N74" s="238">
        <v>16500</v>
      </c>
      <c r="O74" s="234">
        <v>1993</v>
      </c>
      <c r="P74" s="241">
        <v>57600</v>
      </c>
      <c r="Q74" s="242">
        <v>2009</v>
      </c>
      <c r="R74" s="240">
        <v>106800</v>
      </c>
      <c r="S74" s="213"/>
      <c r="T74" s="213"/>
      <c r="U74" s="213"/>
      <c r="V74" s="274">
        <f t="shared" si="3"/>
        <v>2006</v>
      </c>
      <c r="W74" s="259">
        <v>49247.77616434756</v>
      </c>
      <c r="X74" s="1"/>
      <c r="Y74" s="8"/>
      <c r="Z74" s="8"/>
      <c r="AA74" s="8"/>
      <c r="AB74" s="8"/>
      <c r="AC74" s="221">
        <f t="shared" si="1"/>
        <v>1989</v>
      </c>
      <c r="AD74" s="259">
        <v>26810.585441218307</v>
      </c>
      <c r="AE74" s="260">
        <v>0.5445432374431991</v>
      </c>
      <c r="AF74" s="261">
        <f t="shared" si="2"/>
        <v>0.0399057722722165</v>
      </c>
      <c r="AI74" s="53"/>
      <c r="AJ74" s="9"/>
      <c r="AK74" s="114"/>
      <c r="AL74" s="87">
        <v>57</v>
      </c>
      <c r="AM74" s="98">
        <v>0.009174</v>
      </c>
      <c r="AN74" s="89">
        <v>87800</v>
      </c>
      <c r="AO74" s="95">
        <v>23.26</v>
      </c>
      <c r="AP74" s="95">
        <v>0.005366</v>
      </c>
      <c r="AQ74" s="89">
        <v>92841</v>
      </c>
      <c r="AR74" s="95">
        <v>26.53</v>
      </c>
      <c r="AS74" s="114"/>
      <c r="AT74" s="79"/>
      <c r="AU74" s="114"/>
      <c r="AV74" s="9"/>
    </row>
    <row r="75" spans="2:47" ht="15.75" thickBot="1">
      <c r="B75" s="207" t="s">
        <v>71</v>
      </c>
      <c r="C75" s="207">
        <v>2005</v>
      </c>
      <c r="D75" s="208">
        <v>5.3</v>
      </c>
      <c r="E75" s="208">
        <v>0.9</v>
      </c>
      <c r="F75" s="209">
        <v>6.2</v>
      </c>
      <c r="G75" s="209"/>
      <c r="H75" s="208">
        <v>10.6</v>
      </c>
      <c r="I75" s="208">
        <v>1.8</v>
      </c>
      <c r="J75" s="209">
        <v>12.4</v>
      </c>
      <c r="K75" s="7"/>
      <c r="L75" s="1"/>
      <c r="M75" s="237">
        <v>1978</v>
      </c>
      <c r="N75" s="238">
        <v>17700</v>
      </c>
      <c r="O75" s="234">
        <v>1994</v>
      </c>
      <c r="P75" s="241">
        <v>60600</v>
      </c>
      <c r="Q75" s="242">
        <v>2010</v>
      </c>
      <c r="R75" s="240">
        <v>106800</v>
      </c>
      <c r="S75" s="213"/>
      <c r="T75" s="213"/>
      <c r="U75" s="213"/>
      <c r="V75" s="274">
        <f t="shared" si="3"/>
        <v>2007</v>
      </c>
      <c r="W75" s="259">
        <v>52080.03197502989</v>
      </c>
      <c r="X75" s="1"/>
      <c r="Y75" s="8"/>
      <c r="Z75" s="8"/>
      <c r="AA75" s="8"/>
      <c r="AB75" s="8"/>
      <c r="AC75" s="221">
        <f t="shared" si="1"/>
        <v>1990</v>
      </c>
      <c r="AD75" s="259">
        <v>27948.878437655538</v>
      </c>
      <c r="AE75" s="260">
        <v>0.5676628278302818</v>
      </c>
      <c r="AF75" s="261">
        <f t="shared" si="2"/>
        <v>0.04245684969964256</v>
      </c>
      <c r="AI75" s="53"/>
      <c r="AK75" s="114"/>
      <c r="AL75" s="87">
        <v>58</v>
      </c>
      <c r="AM75" s="98">
        <v>0.009848</v>
      </c>
      <c r="AN75" s="89">
        <v>86995</v>
      </c>
      <c r="AO75" s="95">
        <v>22.48</v>
      </c>
      <c r="AP75" s="95">
        <v>0.00583</v>
      </c>
      <c r="AQ75" s="89">
        <v>92342</v>
      </c>
      <c r="AR75" s="95">
        <v>25.67</v>
      </c>
      <c r="AS75" s="114"/>
      <c r="AT75" s="79"/>
      <c r="AU75" s="114"/>
    </row>
    <row r="76" spans="2:47" ht="15.75" thickBot="1">
      <c r="B76" s="207" t="s">
        <v>71</v>
      </c>
      <c r="C76" s="207">
        <v>2006</v>
      </c>
      <c r="D76" s="208">
        <v>5.3</v>
      </c>
      <c r="E76" s="208">
        <v>0.9</v>
      </c>
      <c r="F76" s="209">
        <v>6.2</v>
      </c>
      <c r="G76" s="209"/>
      <c r="H76" s="208">
        <v>10.6</v>
      </c>
      <c r="I76" s="208">
        <v>1.8</v>
      </c>
      <c r="J76" s="209">
        <v>12.4</v>
      </c>
      <c r="K76" s="7"/>
      <c r="L76" s="1"/>
      <c r="M76" s="237">
        <v>1979</v>
      </c>
      <c r="N76" s="238">
        <v>22900</v>
      </c>
      <c r="O76" s="234">
        <v>1995</v>
      </c>
      <c r="P76" s="241">
        <v>61200</v>
      </c>
      <c r="Q76" s="242">
        <v>2011</v>
      </c>
      <c r="R76" s="240">
        <v>106800</v>
      </c>
      <c r="S76" s="213"/>
      <c r="T76" s="213"/>
      <c r="U76" s="213"/>
      <c r="V76" s="274">
        <f t="shared" si="3"/>
        <v>2008</v>
      </c>
      <c r="W76" s="259">
        <v>51254.78479883512</v>
      </c>
      <c r="X76" s="1"/>
      <c r="Y76" s="8"/>
      <c r="Z76" s="8"/>
      <c r="AA76" s="8"/>
      <c r="AB76" s="8"/>
      <c r="AC76" s="221">
        <f t="shared" si="1"/>
        <v>1991</v>
      </c>
      <c r="AD76" s="259">
        <v>28122.679205126307</v>
      </c>
      <c r="AE76" s="260">
        <v>0.5711928526705131</v>
      </c>
      <c r="AF76" s="261">
        <f t="shared" si="2"/>
        <v>0.006218523861644758</v>
      </c>
      <c r="AI76" s="53"/>
      <c r="AK76" s="114"/>
      <c r="AL76" s="87">
        <v>59</v>
      </c>
      <c r="AM76" s="98">
        <v>0.010584</v>
      </c>
      <c r="AN76" s="89">
        <v>86138</v>
      </c>
      <c r="AO76" s="95">
        <v>21.69</v>
      </c>
      <c r="AP76" s="95">
        <v>0.006358</v>
      </c>
      <c r="AQ76" s="89">
        <v>91804</v>
      </c>
      <c r="AR76" s="95">
        <v>24.82</v>
      </c>
      <c r="AS76" s="114"/>
      <c r="AT76" s="79"/>
      <c r="AU76" s="114"/>
    </row>
    <row r="77" spans="2:47" ht="15.75" thickBot="1">
      <c r="B77" s="207" t="s">
        <v>71</v>
      </c>
      <c r="C77" s="207">
        <v>2007</v>
      </c>
      <c r="D77" s="208">
        <v>5.3</v>
      </c>
      <c r="E77" s="208">
        <v>0.9</v>
      </c>
      <c r="F77" s="209">
        <v>6.2</v>
      </c>
      <c r="G77" s="209"/>
      <c r="H77" s="208">
        <v>10.6</v>
      </c>
      <c r="I77" s="208">
        <v>1.8</v>
      </c>
      <c r="J77" s="209">
        <v>12.4</v>
      </c>
      <c r="K77" s="7"/>
      <c r="L77" s="1"/>
      <c r="M77" s="237">
        <v>1980</v>
      </c>
      <c r="N77" s="238">
        <v>25900</v>
      </c>
      <c r="O77" s="234">
        <v>1996</v>
      </c>
      <c r="P77" s="241">
        <v>62700</v>
      </c>
      <c r="Q77" s="242">
        <v>2012</v>
      </c>
      <c r="R77" s="240">
        <v>110100</v>
      </c>
      <c r="S77" s="213"/>
      <c r="T77" s="213"/>
      <c r="U77" s="213"/>
      <c r="V77" s="274">
        <f t="shared" si="3"/>
        <v>2009</v>
      </c>
      <c r="W77" s="259">
        <v>48062.959561816555</v>
      </c>
      <c r="X77" s="1"/>
      <c r="AC77" s="221">
        <f t="shared" si="1"/>
        <v>1992</v>
      </c>
      <c r="AD77" s="259">
        <v>29077.16372214623</v>
      </c>
      <c r="AE77" s="260">
        <v>0.5905791540299891</v>
      </c>
      <c r="AF77" s="261">
        <f t="shared" si="2"/>
        <v>0.03394002790622934</v>
      </c>
      <c r="AI77" s="53"/>
      <c r="AK77" s="114"/>
      <c r="AL77" s="84">
        <v>60</v>
      </c>
      <c r="AM77" s="97">
        <v>0.011407</v>
      </c>
      <c r="AN77" s="86">
        <v>85227</v>
      </c>
      <c r="AO77" s="94">
        <v>20.92</v>
      </c>
      <c r="AP77" s="94">
        <v>0.006961</v>
      </c>
      <c r="AQ77" s="86">
        <v>91220</v>
      </c>
      <c r="AR77" s="94">
        <v>23.97</v>
      </c>
      <c r="AS77" s="114"/>
      <c r="AT77" s="79"/>
      <c r="AU77" s="114"/>
    </row>
    <row r="78" spans="2:47" ht="15.75" thickBot="1">
      <c r="B78" s="207" t="s">
        <v>71</v>
      </c>
      <c r="C78" s="207">
        <v>2008</v>
      </c>
      <c r="D78" s="208">
        <v>5.3</v>
      </c>
      <c r="E78" s="208">
        <v>0.9</v>
      </c>
      <c r="F78" s="209">
        <v>6.2</v>
      </c>
      <c r="G78" s="209"/>
      <c r="H78" s="208">
        <v>10.6</v>
      </c>
      <c r="I78" s="208">
        <v>1.8</v>
      </c>
      <c r="J78" s="209">
        <v>12.4</v>
      </c>
      <c r="K78" s="7"/>
      <c r="L78" s="1"/>
      <c r="M78" s="244">
        <v>1981</v>
      </c>
      <c r="N78" s="245">
        <v>29700</v>
      </c>
      <c r="O78" s="246">
        <v>1997</v>
      </c>
      <c r="P78" s="247">
        <v>65400</v>
      </c>
      <c r="Q78" s="248">
        <v>2013</v>
      </c>
      <c r="R78" s="249">
        <v>113700</v>
      </c>
      <c r="S78" s="213"/>
      <c r="T78" s="213"/>
      <c r="U78" s="213"/>
      <c r="V78" s="274">
        <f t="shared" si="3"/>
        <v>2010</v>
      </c>
      <c r="W78" s="259">
        <v>49234.998431166634</v>
      </c>
      <c r="X78" s="1"/>
      <c r="AC78" s="221">
        <f t="shared" si="1"/>
        <v>1993</v>
      </c>
      <c r="AD78" s="259">
        <v>29356.991292489514</v>
      </c>
      <c r="AE78" s="260">
        <v>0.5962626633071245</v>
      </c>
      <c r="AF78" s="261">
        <f t="shared" si="2"/>
        <v>0.009623619862557562</v>
      </c>
      <c r="AI78" s="53"/>
      <c r="AK78" s="114"/>
      <c r="AL78" s="84">
        <v>61</v>
      </c>
      <c r="AM78" s="97">
        <v>0.012315</v>
      </c>
      <c r="AN78" s="86">
        <v>84254</v>
      </c>
      <c r="AO78" s="94">
        <v>20.16</v>
      </c>
      <c r="AP78" s="94">
        <v>0.007624</v>
      </c>
      <c r="AQ78" s="86">
        <v>90585</v>
      </c>
      <c r="AR78" s="94">
        <v>23.14</v>
      </c>
      <c r="AS78" s="114"/>
      <c r="AT78" s="79"/>
      <c r="AU78" s="114"/>
    </row>
    <row r="79" spans="2:47" ht="15.75" thickBot="1">
      <c r="B79" s="207" t="s">
        <v>71</v>
      </c>
      <c r="C79" s="207">
        <v>2009</v>
      </c>
      <c r="D79" s="208">
        <v>5.3</v>
      </c>
      <c r="E79" s="208">
        <v>0.9</v>
      </c>
      <c r="F79" s="209">
        <v>6.2</v>
      </c>
      <c r="G79" s="209"/>
      <c r="H79" s="208">
        <v>10.6</v>
      </c>
      <c r="I79" s="208">
        <v>1.8</v>
      </c>
      <c r="J79" s="209">
        <v>12.4</v>
      </c>
      <c r="K79" s="7"/>
      <c r="L79" s="1"/>
      <c r="M79" s="213"/>
      <c r="N79" s="213"/>
      <c r="O79" s="213"/>
      <c r="P79" s="213"/>
      <c r="Q79" s="213"/>
      <c r="R79" s="213"/>
      <c r="S79" s="213"/>
      <c r="T79" s="213"/>
      <c r="U79" s="213"/>
      <c r="V79" s="223"/>
      <c r="X79" s="1"/>
      <c r="AC79" s="221">
        <f t="shared" si="1"/>
        <v>1994</v>
      </c>
      <c r="AD79" s="259">
        <v>30511.935336398987</v>
      </c>
      <c r="AE79" s="260">
        <v>0.6197204490431015</v>
      </c>
      <c r="AF79" s="261">
        <f t="shared" si="2"/>
        <v>0.039341362757597885</v>
      </c>
      <c r="AI79" s="53"/>
      <c r="AK79" s="114"/>
      <c r="AL79" s="84">
        <v>62</v>
      </c>
      <c r="AM79" s="97">
        <v>0.013289</v>
      </c>
      <c r="AN79" s="86">
        <v>83217</v>
      </c>
      <c r="AO79" s="94">
        <v>19.4</v>
      </c>
      <c r="AP79" s="94">
        <v>0.008322</v>
      </c>
      <c r="AQ79" s="86">
        <v>89895</v>
      </c>
      <c r="AR79" s="94">
        <v>22.31</v>
      </c>
      <c r="AS79" s="114"/>
      <c r="AT79" s="79"/>
      <c r="AU79" s="114"/>
    </row>
    <row r="80" spans="2:47" ht="15.75" thickBot="1">
      <c r="B80" s="207" t="s">
        <v>71</v>
      </c>
      <c r="C80" s="207">
        <v>2010</v>
      </c>
      <c r="D80" s="208">
        <v>5.3</v>
      </c>
      <c r="E80" s="208">
        <v>0.9</v>
      </c>
      <c r="F80" s="209">
        <v>6.2</v>
      </c>
      <c r="G80" s="209"/>
      <c r="H80" s="208">
        <v>10.6</v>
      </c>
      <c r="I80" s="208">
        <v>1.8</v>
      </c>
      <c r="J80" s="209">
        <v>12.4</v>
      </c>
      <c r="K80" s="7"/>
      <c r="L80" s="1"/>
      <c r="M80" s="213"/>
      <c r="N80" s="213"/>
      <c r="O80" s="213"/>
      <c r="P80" s="213"/>
      <c r="Q80" s="213"/>
      <c r="R80" s="213"/>
      <c r="S80" s="213"/>
      <c r="T80" s="213"/>
      <c r="U80" s="213"/>
      <c r="V80" s="223"/>
      <c r="X80" s="1"/>
      <c r="AC80" s="221">
        <f t="shared" si="1"/>
        <v>1995</v>
      </c>
      <c r="AD80" s="259">
        <v>32143.55760427562</v>
      </c>
      <c r="AE80" s="260">
        <v>0.652859929491298</v>
      </c>
      <c r="AF80" s="261">
        <f t="shared" si="2"/>
        <v>0.053474886135138074</v>
      </c>
      <c r="AI80" s="53"/>
      <c r="AK80" s="114"/>
      <c r="AL80" s="84">
        <v>63</v>
      </c>
      <c r="AM80" s="97">
        <v>0.014326</v>
      </c>
      <c r="AN80" s="86">
        <v>82111</v>
      </c>
      <c r="AO80" s="94">
        <v>18.66</v>
      </c>
      <c r="AP80" s="94">
        <v>0.009046</v>
      </c>
      <c r="AQ80" s="86">
        <v>89147</v>
      </c>
      <c r="AR80" s="94">
        <v>21.49</v>
      </c>
      <c r="AS80" s="114"/>
      <c r="AT80" s="79"/>
      <c r="AU80" s="114"/>
    </row>
    <row r="81" spans="2:47" ht="15.75" thickBot="1">
      <c r="B81" s="207" t="s">
        <v>71</v>
      </c>
      <c r="C81" s="207">
        <v>2011</v>
      </c>
      <c r="D81" s="208">
        <v>5.3</v>
      </c>
      <c r="E81" s="208">
        <v>0.9</v>
      </c>
      <c r="F81" s="209">
        <v>6.2</v>
      </c>
      <c r="G81" s="209"/>
      <c r="H81" s="208">
        <v>10.6</v>
      </c>
      <c r="I81" s="208">
        <v>1.8</v>
      </c>
      <c r="J81" s="209">
        <v>12.4</v>
      </c>
      <c r="K81" s="7"/>
      <c r="L81" s="1"/>
      <c r="M81" s="230"/>
      <c r="N81" s="230"/>
      <c r="O81" s="230"/>
      <c r="P81" s="230"/>
      <c r="Q81" s="230"/>
      <c r="R81" s="230"/>
      <c r="S81" s="230"/>
      <c r="T81" s="230"/>
      <c r="U81" s="213"/>
      <c r="V81" s="223"/>
      <c r="X81" s="1"/>
      <c r="AC81" s="221">
        <f t="shared" si="1"/>
        <v>1996</v>
      </c>
      <c r="AD81" s="259">
        <v>33764.75087506698</v>
      </c>
      <c r="AE81" s="260">
        <v>0.6857875891328005</v>
      </c>
      <c r="AF81" s="261">
        <f t="shared" si="2"/>
        <v>0.05043602487161274</v>
      </c>
      <c r="AI81" s="53"/>
      <c r="AK81" s="114"/>
      <c r="AL81" s="84">
        <v>64</v>
      </c>
      <c r="AM81" s="97">
        <v>0.015453</v>
      </c>
      <c r="AN81" s="86">
        <v>80935</v>
      </c>
      <c r="AO81" s="94">
        <v>17.92</v>
      </c>
      <c r="AP81" s="94">
        <v>0.009822</v>
      </c>
      <c r="AQ81" s="86">
        <v>88340</v>
      </c>
      <c r="AR81" s="94">
        <v>20.69</v>
      </c>
      <c r="AS81" s="114"/>
      <c r="AT81" s="79"/>
      <c r="AU81" s="114"/>
    </row>
    <row r="82" spans="2:48" s="2" customFormat="1" ht="15.75" thickBot="1">
      <c r="B82" s="207" t="s">
        <v>71</v>
      </c>
      <c r="C82" s="207">
        <v>2012</v>
      </c>
      <c r="D82" s="208">
        <v>5.3</v>
      </c>
      <c r="E82" s="208">
        <v>0.9</v>
      </c>
      <c r="F82" s="209">
        <v>6.2</v>
      </c>
      <c r="G82" s="209"/>
      <c r="H82" s="208">
        <v>10.6</v>
      </c>
      <c r="I82" s="208">
        <v>1.8</v>
      </c>
      <c r="J82" s="209">
        <v>12.4</v>
      </c>
      <c r="K82" s="7"/>
      <c r="L82" s="1"/>
      <c r="M82" s="230"/>
      <c r="N82" s="230"/>
      <c r="O82" s="230"/>
      <c r="P82" s="230"/>
      <c r="Q82" s="230"/>
      <c r="R82" s="230"/>
      <c r="S82" s="230"/>
      <c r="T82" s="230"/>
      <c r="U82" s="213"/>
      <c r="V82" s="223"/>
      <c r="W82"/>
      <c r="X82" s="1"/>
      <c r="Y82"/>
      <c r="Z82"/>
      <c r="AA82"/>
      <c r="AB82"/>
      <c r="AC82" s="221">
        <f t="shared" si="1"/>
        <v>1997</v>
      </c>
      <c r="AD82" s="259">
        <v>35859.95106499226</v>
      </c>
      <c r="AE82" s="260">
        <v>0.728342687268012</v>
      </c>
      <c r="AF82" s="261">
        <f t="shared" si="2"/>
        <v>0.06205288460968462</v>
      </c>
      <c r="AG82"/>
      <c r="AH82"/>
      <c r="AI82" s="53"/>
      <c r="AJ82"/>
      <c r="AK82" s="114"/>
      <c r="AL82" s="87">
        <v>65</v>
      </c>
      <c r="AM82" s="98">
        <v>0.016723</v>
      </c>
      <c r="AN82" s="89">
        <v>79684</v>
      </c>
      <c r="AO82" s="95">
        <v>17.19</v>
      </c>
      <c r="AP82" s="95">
        <v>0.010698</v>
      </c>
      <c r="AQ82" s="89">
        <v>87473</v>
      </c>
      <c r="AR82" s="95">
        <v>19.89</v>
      </c>
      <c r="AS82" s="114"/>
      <c r="AT82" s="79"/>
      <c r="AU82" s="114"/>
      <c r="AV82"/>
    </row>
    <row r="83" spans="2:48" s="9" customFormat="1" ht="15.75" thickBot="1">
      <c r="B83" s="10"/>
      <c r="C83" s="10"/>
      <c r="D83" s="11"/>
      <c r="E83" s="11"/>
      <c r="F83" s="12"/>
      <c r="G83" s="12"/>
      <c r="H83" s="11"/>
      <c r="I83" s="11"/>
      <c r="J83" s="12"/>
      <c r="K83" s="8"/>
      <c r="L83" s="8"/>
      <c r="M83" s="230"/>
      <c r="N83" s="230"/>
      <c r="O83" s="230"/>
      <c r="P83" s="230"/>
      <c r="Q83" s="230"/>
      <c r="R83" s="230"/>
      <c r="S83" s="230"/>
      <c r="T83" s="230"/>
      <c r="U83" s="230"/>
      <c r="V83" s="223"/>
      <c r="W83"/>
      <c r="X83" s="8"/>
      <c r="Y83"/>
      <c r="Z83"/>
      <c r="AA83"/>
      <c r="AB83"/>
      <c r="AC83" s="221">
        <f t="shared" si="1"/>
        <v>1998</v>
      </c>
      <c r="AD83" s="259">
        <v>38128.568044023785</v>
      </c>
      <c r="AE83" s="260">
        <v>0.7744200113528941</v>
      </c>
      <c r="AF83" s="261">
        <f t="shared" si="2"/>
        <v>0.06326324804291851</v>
      </c>
      <c r="AG83"/>
      <c r="AH83"/>
      <c r="AI83" s="53"/>
      <c r="AJ83"/>
      <c r="AK83" s="114"/>
      <c r="AL83" s="87">
        <v>66</v>
      </c>
      <c r="AM83" s="98">
        <v>0.018154</v>
      </c>
      <c r="AN83" s="89">
        <v>78351</v>
      </c>
      <c r="AO83" s="95">
        <v>16.48</v>
      </c>
      <c r="AP83" s="95">
        <v>0.011702</v>
      </c>
      <c r="AQ83" s="89">
        <v>86537</v>
      </c>
      <c r="AR83" s="95">
        <v>19.1</v>
      </c>
      <c r="AS83" s="114"/>
      <c r="AT83" s="79"/>
      <c r="AU83" s="114"/>
      <c r="AV83"/>
    </row>
    <row r="84" spans="2:48" s="9" customFormat="1" ht="15.75" thickBot="1">
      <c r="B84" s="430" t="s">
        <v>55</v>
      </c>
      <c r="C84" s="430"/>
      <c r="D84" s="430"/>
      <c r="E84" s="430"/>
      <c r="F84" s="430"/>
      <c r="G84" s="430"/>
      <c r="H84" s="430"/>
      <c r="I84" s="430"/>
      <c r="J84" s="430"/>
      <c r="K84" s="8"/>
      <c r="L84" s="8"/>
      <c r="M84" s="223"/>
      <c r="N84" s="223"/>
      <c r="O84" s="223"/>
      <c r="P84" s="223"/>
      <c r="Q84" s="223"/>
      <c r="R84" s="223"/>
      <c r="S84" s="223"/>
      <c r="T84" s="223"/>
      <c r="U84" s="230"/>
      <c r="V84" s="223"/>
      <c r="W84"/>
      <c r="X84" s="8"/>
      <c r="Y84"/>
      <c r="Z84"/>
      <c r="AA84"/>
      <c r="AB84"/>
      <c r="AC84" s="221">
        <f t="shared" si="1"/>
        <v>1999</v>
      </c>
      <c r="AD84" s="262">
        <v>40454.45995576461</v>
      </c>
      <c r="AE84" s="263">
        <v>0.8216606325746567</v>
      </c>
      <c r="AF84" s="261">
        <f t="shared" si="2"/>
        <v>0.06100129197234248</v>
      </c>
      <c r="AG84"/>
      <c r="AH84"/>
      <c r="AI84" s="53"/>
      <c r="AJ84"/>
      <c r="AK84" s="114"/>
      <c r="AL84" s="87">
        <v>67</v>
      </c>
      <c r="AM84" s="98">
        <v>0.019732</v>
      </c>
      <c r="AN84" s="89">
        <v>76929</v>
      </c>
      <c r="AO84" s="95">
        <v>15.77</v>
      </c>
      <c r="AP84" s="95">
        <v>0.012832</v>
      </c>
      <c r="AQ84" s="89">
        <v>85524</v>
      </c>
      <c r="AR84" s="95">
        <v>18.32</v>
      </c>
      <c r="AS84" s="114"/>
      <c r="AT84" s="79"/>
      <c r="AU84" s="114"/>
      <c r="AV84"/>
    </row>
    <row r="85" spans="2:48" s="9" customFormat="1" ht="15.75" thickBot="1">
      <c r="B85" s="428"/>
      <c r="C85" s="428"/>
      <c r="D85" s="428"/>
      <c r="E85" s="428"/>
      <c r="F85" s="428"/>
      <c r="G85" s="428"/>
      <c r="H85" s="428"/>
      <c r="I85" s="428"/>
      <c r="J85" s="428"/>
      <c r="K85" s="8"/>
      <c r="L85" s="8"/>
      <c r="M85" s="223"/>
      <c r="N85" s="223"/>
      <c r="O85" s="223"/>
      <c r="P85" s="223"/>
      <c r="Q85" s="223"/>
      <c r="R85" s="223"/>
      <c r="S85" s="223"/>
      <c r="T85" s="223"/>
      <c r="U85" s="230"/>
      <c r="V85" s="223"/>
      <c r="W85"/>
      <c r="X85" s="8"/>
      <c r="Y85"/>
      <c r="Z85"/>
      <c r="AA85"/>
      <c r="AB85"/>
      <c r="AC85" s="221">
        <f t="shared" si="1"/>
        <v>2000</v>
      </c>
      <c r="AD85" s="262">
        <v>42478.731795808315</v>
      </c>
      <c r="AE85" s="263">
        <v>0.8627751223592711</v>
      </c>
      <c r="AF85" s="261">
        <f t="shared" si="2"/>
        <v>0.05003828606925346</v>
      </c>
      <c r="AG85"/>
      <c r="AH85"/>
      <c r="AI85" s="53"/>
      <c r="AJ85"/>
      <c r="AK85" s="114"/>
      <c r="AL85" s="87">
        <v>68</v>
      </c>
      <c r="AM85" s="98">
        <v>0.021468</v>
      </c>
      <c r="AN85" s="89">
        <v>75411</v>
      </c>
      <c r="AO85" s="95">
        <v>15.08</v>
      </c>
      <c r="AP85" s="95">
        <v>0.014103</v>
      </c>
      <c r="AQ85" s="89">
        <v>84427</v>
      </c>
      <c r="AR85" s="95">
        <v>17.55</v>
      </c>
      <c r="AS85" s="114"/>
      <c r="AT85" s="79"/>
      <c r="AU85" s="114"/>
      <c r="AV85"/>
    </row>
    <row r="86" spans="2:47" ht="15.75" thickBot="1">
      <c r="B86" s="428"/>
      <c r="C86" s="428"/>
      <c r="D86" s="428"/>
      <c r="E86" s="428"/>
      <c r="F86" s="428"/>
      <c r="G86" s="428"/>
      <c r="H86" s="428"/>
      <c r="I86" s="428"/>
      <c r="J86" s="428"/>
      <c r="M86" s="223"/>
      <c r="N86" s="223"/>
      <c r="O86" s="223"/>
      <c r="P86" s="223"/>
      <c r="Q86" s="223"/>
      <c r="R86" s="223"/>
      <c r="S86" s="223"/>
      <c r="T86" s="223"/>
      <c r="U86" s="223"/>
      <c r="V86" s="223"/>
      <c r="AC86" s="221">
        <f t="shared" si="1"/>
        <v>2001</v>
      </c>
      <c r="AD86" s="262">
        <v>42646.01958503604</v>
      </c>
      <c r="AE86" s="263">
        <v>0.866172863692839</v>
      </c>
      <c r="AF86" s="261">
        <f t="shared" si="2"/>
        <v>0.003938154039811335</v>
      </c>
      <c r="AI86" s="53"/>
      <c r="AK86" s="114"/>
      <c r="AL86" s="87">
        <v>69</v>
      </c>
      <c r="AM86" s="98">
        <v>0.023387</v>
      </c>
      <c r="AN86" s="89">
        <v>73792</v>
      </c>
      <c r="AO86" s="95">
        <v>14.4</v>
      </c>
      <c r="AP86" s="95">
        <v>0.015526</v>
      </c>
      <c r="AQ86" s="89">
        <v>83236</v>
      </c>
      <c r="AR86" s="95">
        <v>16.79</v>
      </c>
      <c r="AS86" s="114"/>
      <c r="AT86" s="79"/>
      <c r="AU86" s="114"/>
    </row>
    <row r="87" spans="2:47" ht="15.75" thickBot="1">
      <c r="B87" s="428"/>
      <c r="C87" s="428"/>
      <c r="D87" s="428"/>
      <c r="E87" s="428"/>
      <c r="F87" s="428"/>
      <c r="G87" s="428"/>
      <c r="H87" s="428"/>
      <c r="I87" s="428"/>
      <c r="J87" s="428"/>
      <c r="M87" s="223"/>
      <c r="N87" s="223"/>
      <c r="O87" s="223"/>
      <c r="P87" s="223"/>
      <c r="Q87" s="223"/>
      <c r="R87" s="223"/>
      <c r="S87" s="223"/>
      <c r="T87" s="223"/>
      <c r="U87" s="223"/>
      <c r="V87" s="223"/>
      <c r="AC87" s="221">
        <f t="shared" si="1"/>
        <v>2002</v>
      </c>
      <c r="AD87" s="259">
        <v>41682.390637307566</v>
      </c>
      <c r="AE87" s="260">
        <v>0.846600832039874</v>
      </c>
      <c r="AF87" s="261">
        <f t="shared" si="2"/>
        <v>-0.022595988021977063</v>
      </c>
      <c r="AI87" s="53"/>
      <c r="AK87" s="114"/>
      <c r="AL87" s="84">
        <v>70</v>
      </c>
      <c r="AM87" s="97">
        <v>0.025579</v>
      </c>
      <c r="AN87" s="86">
        <v>72066</v>
      </c>
      <c r="AO87" s="94">
        <v>13.73</v>
      </c>
      <c r="AP87" s="94">
        <v>0.017163</v>
      </c>
      <c r="AQ87" s="86">
        <v>81944</v>
      </c>
      <c r="AR87" s="94">
        <v>16.05</v>
      </c>
      <c r="AS87" s="114"/>
      <c r="AT87" s="79"/>
      <c r="AU87" s="114"/>
    </row>
    <row r="88" spans="2:47" ht="15.75" thickBot="1">
      <c r="B88" s="428"/>
      <c r="C88" s="428"/>
      <c r="D88" s="428"/>
      <c r="E88" s="428"/>
      <c r="F88" s="428"/>
      <c r="G88" s="428"/>
      <c r="H88" s="428"/>
      <c r="I88" s="428"/>
      <c r="J88" s="428"/>
      <c r="M88" s="223"/>
      <c r="N88" s="223"/>
      <c r="O88" s="223"/>
      <c r="P88" s="223"/>
      <c r="Q88" s="223"/>
      <c r="R88" s="223"/>
      <c r="S88" s="223"/>
      <c r="T88" s="223"/>
      <c r="U88" s="223"/>
      <c r="V88" s="223"/>
      <c r="AC88" s="221">
        <f aca="true" t="shared" si="4" ref="AC88:AC95">AC87+1</f>
        <v>2003</v>
      </c>
      <c r="AD88" s="259">
        <v>42028.709050310754</v>
      </c>
      <c r="AE88" s="260">
        <v>0.8536348205447658</v>
      </c>
      <c r="AF88" s="261">
        <f aca="true" t="shared" si="5" ref="AF88:AF95">($AD88-$AD87)/$AD87</f>
        <v>0.0083085064869868</v>
      </c>
      <c r="AI88" s="53"/>
      <c r="AK88" s="114"/>
      <c r="AL88" s="84">
        <v>71</v>
      </c>
      <c r="AM88" s="97">
        <v>0.028032</v>
      </c>
      <c r="AN88" s="86">
        <v>70223</v>
      </c>
      <c r="AO88" s="94">
        <v>13.08</v>
      </c>
      <c r="AP88" s="94">
        <v>0.018987</v>
      </c>
      <c r="AQ88" s="86">
        <v>80537</v>
      </c>
      <c r="AR88" s="94">
        <v>15.32</v>
      </c>
      <c r="AS88" s="114"/>
      <c r="AT88" s="79"/>
      <c r="AU88" s="114"/>
    </row>
    <row r="89" spans="2:47" ht="15.75" thickBot="1">
      <c r="B89" s="428" t="s">
        <v>56</v>
      </c>
      <c r="C89" s="428"/>
      <c r="D89" s="428"/>
      <c r="E89" s="428"/>
      <c r="F89" s="428"/>
      <c r="G89" s="428"/>
      <c r="H89" s="428"/>
      <c r="I89" s="428"/>
      <c r="J89" s="428"/>
      <c r="M89" s="223"/>
      <c r="N89" s="223"/>
      <c r="O89" s="223"/>
      <c r="P89" s="223"/>
      <c r="Q89" s="223"/>
      <c r="R89" s="223"/>
      <c r="S89" s="223"/>
      <c r="T89" s="223"/>
      <c r="U89" s="223"/>
      <c r="V89" s="223"/>
      <c r="AC89" s="221">
        <f t="shared" si="4"/>
        <v>2004</v>
      </c>
      <c r="AD89" s="259">
        <v>44333.69793094709</v>
      </c>
      <c r="AE89" s="260">
        <v>0.9004508854190004</v>
      </c>
      <c r="AF89" s="261">
        <f t="shared" si="5"/>
        <v>0.05484319962997519</v>
      </c>
      <c r="AI89" s="53"/>
      <c r="AK89" s="114"/>
      <c r="AL89" s="84">
        <v>72</v>
      </c>
      <c r="AM89" s="97">
        <v>0.030665</v>
      </c>
      <c r="AN89" s="86">
        <v>68254</v>
      </c>
      <c r="AO89" s="94">
        <v>12.44</v>
      </c>
      <c r="AP89" s="94">
        <v>0.020922</v>
      </c>
      <c r="AQ89" s="86">
        <v>79008</v>
      </c>
      <c r="AR89" s="94">
        <v>14.61</v>
      </c>
      <c r="AS89" s="114"/>
      <c r="AT89" s="79"/>
      <c r="AU89" s="114"/>
    </row>
    <row r="90" spans="2:47" ht="15.75" thickBot="1">
      <c r="B90" s="429"/>
      <c r="C90" s="429"/>
      <c r="D90" s="429"/>
      <c r="E90" s="429"/>
      <c r="F90" s="429"/>
      <c r="G90" s="429"/>
      <c r="H90" s="429"/>
      <c r="I90" s="429"/>
      <c r="J90" s="429"/>
      <c r="M90" s="223"/>
      <c r="N90" s="223"/>
      <c r="O90" s="223"/>
      <c r="P90" s="223"/>
      <c r="Q90" s="223"/>
      <c r="R90" s="223"/>
      <c r="S90" s="223"/>
      <c r="T90" s="223"/>
      <c r="U90" s="223"/>
      <c r="V90" s="223"/>
      <c r="AC90" s="221">
        <f t="shared" si="4"/>
        <v>2005</v>
      </c>
      <c r="AD90" s="259">
        <v>46820.42897978489</v>
      </c>
      <c r="AE90" s="260">
        <v>0.9509582709795867</v>
      </c>
      <c r="AF90" s="261">
        <f t="shared" si="5"/>
        <v>0.056091216498814524</v>
      </c>
      <c r="AI90" s="53"/>
      <c r="AK90" s="114"/>
      <c r="AL90" s="84">
        <v>73</v>
      </c>
      <c r="AM90" s="97">
        <v>0.033467</v>
      </c>
      <c r="AN90" s="86">
        <v>66161</v>
      </c>
      <c r="AO90" s="94">
        <v>11.82</v>
      </c>
      <c r="AP90" s="94">
        <v>0.022951</v>
      </c>
      <c r="AQ90" s="86">
        <v>77355</v>
      </c>
      <c r="AR90" s="94">
        <v>13.91</v>
      </c>
      <c r="AS90" s="114"/>
      <c r="AT90" s="79"/>
      <c r="AU90" s="114"/>
    </row>
    <row r="91" spans="2:47" ht="15.75" thickBot="1">
      <c r="B91" s="429"/>
      <c r="C91" s="429"/>
      <c r="D91" s="429"/>
      <c r="E91" s="429"/>
      <c r="F91" s="429"/>
      <c r="G91" s="429"/>
      <c r="H91" s="429"/>
      <c r="I91" s="429"/>
      <c r="J91" s="429"/>
      <c r="M91" s="223"/>
      <c r="N91" s="223"/>
      <c r="O91" s="223"/>
      <c r="P91" s="223"/>
      <c r="Q91" s="223"/>
      <c r="R91" s="223"/>
      <c r="S91" s="223"/>
      <c r="T91" s="223"/>
      <c r="U91" s="223"/>
      <c r="V91" s="223"/>
      <c r="AC91" s="221">
        <f t="shared" si="4"/>
        <v>2006</v>
      </c>
      <c r="AD91" s="259">
        <v>49247.77616434756</v>
      </c>
      <c r="AE91" s="260">
        <v>1.0002595254105429</v>
      </c>
      <c r="AF91" s="261">
        <f t="shared" si="5"/>
        <v>0.05184376216652559</v>
      </c>
      <c r="AI91" s="53"/>
      <c r="AK91" s="114"/>
      <c r="AL91" s="84">
        <v>74</v>
      </c>
      <c r="AM91" s="97">
        <v>0.036519</v>
      </c>
      <c r="AN91" s="86">
        <v>63947</v>
      </c>
      <c r="AO91" s="94">
        <v>11.21</v>
      </c>
      <c r="AP91" s="94">
        <v>0.025147</v>
      </c>
      <c r="AQ91" s="86">
        <v>75580</v>
      </c>
      <c r="AR91" s="94">
        <v>13.22</v>
      </c>
      <c r="AS91" s="114"/>
      <c r="AT91" s="79"/>
      <c r="AU91" s="114"/>
    </row>
    <row r="92" spans="2:47" ht="15.75" thickBot="1">
      <c r="B92" s="429"/>
      <c r="C92" s="429"/>
      <c r="D92" s="429"/>
      <c r="E92" s="429"/>
      <c r="F92" s="429"/>
      <c r="G92" s="429"/>
      <c r="H92" s="429"/>
      <c r="I92" s="429"/>
      <c r="J92" s="429"/>
      <c r="M92" s="223"/>
      <c r="N92" s="223"/>
      <c r="O92" s="223"/>
      <c r="P92" s="223"/>
      <c r="Q92" s="223"/>
      <c r="R92" s="223"/>
      <c r="S92" s="223"/>
      <c r="T92" s="223"/>
      <c r="U92" s="223"/>
      <c r="V92" s="223"/>
      <c r="AC92" s="221">
        <f t="shared" si="4"/>
        <v>2007</v>
      </c>
      <c r="AD92" s="259">
        <v>52080.03197502989</v>
      </c>
      <c r="AE92" s="260">
        <v>1.0577847798216298</v>
      </c>
      <c r="AF92" s="261">
        <f t="shared" si="5"/>
        <v>0.057510329019337746</v>
      </c>
      <c r="AI92" s="53"/>
      <c r="AK92" s="114"/>
      <c r="AL92" s="87">
        <v>75</v>
      </c>
      <c r="AM92" s="98">
        <v>0.04001</v>
      </c>
      <c r="AN92" s="89">
        <v>61612</v>
      </c>
      <c r="AO92" s="95">
        <v>10.62</v>
      </c>
      <c r="AP92" s="95">
        <v>0.027709</v>
      </c>
      <c r="AQ92" s="89">
        <v>73679</v>
      </c>
      <c r="AR92" s="95">
        <v>12.55</v>
      </c>
      <c r="AS92" s="114"/>
      <c r="AT92" s="79"/>
      <c r="AU92" s="114"/>
    </row>
    <row r="93" spans="2:47" ht="15.75" thickBot="1">
      <c r="B93" s="428" t="s">
        <v>57</v>
      </c>
      <c r="C93" s="428"/>
      <c r="D93" s="428"/>
      <c r="E93" s="428"/>
      <c r="F93" s="428"/>
      <c r="G93" s="428"/>
      <c r="H93" s="428"/>
      <c r="I93" s="428"/>
      <c r="J93" s="428"/>
      <c r="M93" s="223"/>
      <c r="N93" s="223"/>
      <c r="O93" s="223"/>
      <c r="P93" s="223"/>
      <c r="Q93" s="223"/>
      <c r="R93" s="223"/>
      <c r="S93" s="223"/>
      <c r="T93" s="223"/>
      <c r="U93" s="223"/>
      <c r="V93" s="223"/>
      <c r="AC93" s="221">
        <f t="shared" si="4"/>
        <v>2008</v>
      </c>
      <c r="AD93" s="259">
        <v>51254.78479883512</v>
      </c>
      <c r="AE93" s="260">
        <v>1.041023386453282</v>
      </c>
      <c r="AF93" s="261">
        <f t="shared" si="5"/>
        <v>-0.015845750182919192</v>
      </c>
      <c r="AI93" s="53"/>
      <c r="AK93" s="114"/>
      <c r="AL93" s="87">
        <v>76</v>
      </c>
      <c r="AM93" s="98">
        <v>0.043987</v>
      </c>
      <c r="AN93" s="89">
        <v>59147</v>
      </c>
      <c r="AO93" s="95">
        <v>10.04</v>
      </c>
      <c r="AP93" s="95">
        <v>0.030659</v>
      </c>
      <c r="AQ93" s="89">
        <v>71638</v>
      </c>
      <c r="AR93" s="95">
        <v>11.9</v>
      </c>
      <c r="AS93" s="114"/>
      <c r="AT93" s="79"/>
      <c r="AU93" s="114"/>
    </row>
    <row r="94" spans="2:47" ht="15.75" thickBot="1">
      <c r="B94" s="429"/>
      <c r="C94" s="429"/>
      <c r="D94" s="429"/>
      <c r="E94" s="429"/>
      <c r="F94" s="429"/>
      <c r="G94" s="429"/>
      <c r="H94" s="429"/>
      <c r="I94" s="429"/>
      <c r="J94" s="429"/>
      <c r="M94" s="223"/>
      <c r="N94" s="223"/>
      <c r="O94" s="223"/>
      <c r="P94" s="223"/>
      <c r="Q94" s="223"/>
      <c r="R94" s="223"/>
      <c r="S94" s="223"/>
      <c r="T94" s="223"/>
      <c r="U94" s="223"/>
      <c r="V94" s="223"/>
      <c r="AC94" s="221">
        <f t="shared" si="4"/>
        <v>2009</v>
      </c>
      <c r="AD94" s="259">
        <v>48062.959561816555</v>
      </c>
      <c r="AE94" s="260">
        <v>0.9761950054494537</v>
      </c>
      <c r="AF94" s="261">
        <f t="shared" si="5"/>
        <v>-0.06227370282688431</v>
      </c>
      <c r="AI94" s="53"/>
      <c r="AK94" s="114"/>
      <c r="AL94" s="87">
        <v>77</v>
      </c>
      <c r="AM94" s="98">
        <v>0.048359</v>
      </c>
      <c r="AN94" s="89">
        <v>56545</v>
      </c>
      <c r="AO94" s="95">
        <v>9.48</v>
      </c>
      <c r="AP94" s="95">
        <v>0.033861</v>
      </c>
      <c r="AQ94" s="89">
        <v>69441</v>
      </c>
      <c r="AR94" s="95">
        <v>11.26</v>
      </c>
      <c r="AS94" s="114"/>
      <c r="AT94" s="79"/>
      <c r="AU94" s="114"/>
    </row>
    <row r="95" spans="2:47" ht="15.75" thickBot="1">
      <c r="B95" s="429"/>
      <c r="C95" s="429"/>
      <c r="D95" s="429"/>
      <c r="E95" s="429"/>
      <c r="F95" s="429"/>
      <c r="G95" s="429"/>
      <c r="H95" s="429"/>
      <c r="I95" s="429"/>
      <c r="J95" s="429"/>
      <c r="M95" s="223"/>
      <c r="N95" s="223"/>
      <c r="O95" s="223"/>
      <c r="P95" s="223"/>
      <c r="Q95" s="223"/>
      <c r="R95" s="223"/>
      <c r="S95" s="223"/>
      <c r="T95" s="223"/>
      <c r="U95" s="223"/>
      <c r="V95" s="223"/>
      <c r="AC95" s="221">
        <f t="shared" si="4"/>
        <v>2010</v>
      </c>
      <c r="AD95" s="259">
        <v>49234.998431166634</v>
      </c>
      <c r="AE95" s="260">
        <v>1</v>
      </c>
      <c r="AF95" s="261">
        <f t="shared" si="5"/>
        <v>0.024385491031667577</v>
      </c>
      <c r="AI95" s="53"/>
      <c r="AK95" s="114"/>
      <c r="AL95" s="87">
        <v>78</v>
      </c>
      <c r="AM95" s="98">
        <v>0.05314</v>
      </c>
      <c r="AN95" s="89">
        <v>53811</v>
      </c>
      <c r="AO95" s="95">
        <v>8.94</v>
      </c>
      <c r="AP95" s="95">
        <v>0.037311</v>
      </c>
      <c r="AQ95" s="89">
        <v>67090</v>
      </c>
      <c r="AR95" s="95">
        <v>10.63</v>
      </c>
      <c r="AS95" s="114"/>
      <c r="AT95" s="79"/>
      <c r="AU95" s="114"/>
    </row>
    <row r="96" spans="2:47" ht="15" thickBot="1">
      <c r="B96" s="429"/>
      <c r="C96" s="429"/>
      <c r="D96" s="429"/>
      <c r="E96" s="429"/>
      <c r="F96" s="429"/>
      <c r="G96" s="429"/>
      <c r="H96" s="429"/>
      <c r="I96" s="429"/>
      <c r="J96" s="429"/>
      <c r="M96" s="223"/>
      <c r="N96" s="223"/>
      <c r="O96" s="223"/>
      <c r="P96" s="223"/>
      <c r="Q96" s="223"/>
      <c r="R96" s="223"/>
      <c r="S96" s="223"/>
      <c r="T96" s="223"/>
      <c r="U96" s="223"/>
      <c r="V96" s="223"/>
      <c r="AK96" s="114"/>
      <c r="AL96" s="87">
        <v>79</v>
      </c>
      <c r="AM96" s="98">
        <v>0.058434</v>
      </c>
      <c r="AN96" s="89">
        <v>50951</v>
      </c>
      <c r="AO96" s="95">
        <v>8.41</v>
      </c>
      <c r="AP96" s="95">
        <v>0.041132</v>
      </c>
      <c r="AQ96" s="89">
        <v>64587</v>
      </c>
      <c r="AR96" s="95">
        <v>10.03</v>
      </c>
      <c r="AS96" s="114"/>
      <c r="AT96" s="79"/>
      <c r="AU96" s="114"/>
    </row>
    <row r="97" spans="2:47" ht="15" thickBot="1">
      <c r="B97" s="429"/>
      <c r="C97" s="429"/>
      <c r="D97" s="429"/>
      <c r="E97" s="429"/>
      <c r="F97" s="429"/>
      <c r="G97" s="429"/>
      <c r="H97" s="429"/>
      <c r="I97" s="429"/>
      <c r="J97" s="429"/>
      <c r="M97" s="223"/>
      <c r="N97" s="223"/>
      <c r="O97" s="223"/>
      <c r="P97" s="223"/>
      <c r="Q97" s="223"/>
      <c r="R97" s="223"/>
      <c r="S97" s="223"/>
      <c r="T97" s="223"/>
      <c r="U97" s="223"/>
      <c r="V97" s="223"/>
      <c r="AK97" s="114"/>
      <c r="AL97" s="84">
        <v>80</v>
      </c>
      <c r="AM97" s="97">
        <v>0.064457</v>
      </c>
      <c r="AN97" s="86">
        <v>47974</v>
      </c>
      <c r="AO97" s="94">
        <v>7.9</v>
      </c>
      <c r="AP97" s="94">
        <v>0.045561</v>
      </c>
      <c r="AQ97" s="86">
        <v>61930</v>
      </c>
      <c r="AR97" s="94">
        <v>9.43</v>
      </c>
      <c r="AS97" s="114"/>
      <c r="AT97" s="79"/>
      <c r="AU97" s="114"/>
    </row>
    <row r="98" spans="2:47" ht="15" thickBot="1">
      <c r="B98" s="429"/>
      <c r="C98" s="429"/>
      <c r="D98" s="429"/>
      <c r="E98" s="429"/>
      <c r="F98" s="429"/>
      <c r="G98" s="429"/>
      <c r="H98" s="429"/>
      <c r="I98" s="429"/>
      <c r="J98" s="429"/>
      <c r="M98" s="223"/>
      <c r="N98" s="223"/>
      <c r="O98" s="223"/>
      <c r="P98" s="223"/>
      <c r="Q98" s="223"/>
      <c r="R98" s="223"/>
      <c r="S98" s="223"/>
      <c r="T98" s="223"/>
      <c r="U98" s="223"/>
      <c r="V98" s="223"/>
      <c r="AK98" s="114"/>
      <c r="AL98" s="84">
        <v>81</v>
      </c>
      <c r="AM98" s="97">
        <v>0.071259</v>
      </c>
      <c r="AN98" s="86">
        <v>44882</v>
      </c>
      <c r="AO98" s="94">
        <v>7.41</v>
      </c>
      <c r="AP98" s="94">
        <v>0.050698</v>
      </c>
      <c r="AQ98" s="86">
        <v>59109</v>
      </c>
      <c r="AR98" s="94">
        <v>8.86</v>
      </c>
      <c r="AS98" s="114"/>
      <c r="AT98" s="79"/>
      <c r="AU98" s="114"/>
    </row>
    <row r="99" spans="2:47" ht="15" thickBot="1">
      <c r="B99" s="422" t="s">
        <v>50</v>
      </c>
      <c r="C99" s="422"/>
      <c r="D99" s="422"/>
      <c r="E99" s="422"/>
      <c r="F99" s="422"/>
      <c r="G99" s="422"/>
      <c r="H99" s="422"/>
      <c r="I99" s="423"/>
      <c r="J99" s="423"/>
      <c r="M99" s="223"/>
      <c r="N99" s="223"/>
      <c r="O99" s="223"/>
      <c r="P99" s="223"/>
      <c r="Q99" s="223"/>
      <c r="R99" s="223"/>
      <c r="S99" s="223"/>
      <c r="T99" s="223"/>
      <c r="U99" s="223"/>
      <c r="V99" s="223"/>
      <c r="AK99" s="114"/>
      <c r="AL99" s="84">
        <v>82</v>
      </c>
      <c r="AM99" s="97">
        <v>0.078741</v>
      </c>
      <c r="AN99" s="86">
        <v>41683</v>
      </c>
      <c r="AO99" s="94">
        <v>6.94</v>
      </c>
      <c r="AP99" s="94">
        <v>0.056486</v>
      </c>
      <c r="AQ99" s="86">
        <v>56112</v>
      </c>
      <c r="AR99" s="94">
        <v>8.31</v>
      </c>
      <c r="AS99" s="114"/>
      <c r="AT99" s="79"/>
      <c r="AU99" s="114"/>
    </row>
    <row r="100" spans="2:47" ht="15" thickBot="1">
      <c r="B100" s="422"/>
      <c r="C100" s="422"/>
      <c r="D100" s="422"/>
      <c r="E100" s="422"/>
      <c r="F100" s="422"/>
      <c r="G100" s="422"/>
      <c r="H100" s="422"/>
      <c r="I100" s="423"/>
      <c r="J100" s="423"/>
      <c r="M100" s="223"/>
      <c r="N100" s="223"/>
      <c r="O100" s="223"/>
      <c r="P100" s="223"/>
      <c r="Q100" s="223"/>
      <c r="R100" s="223"/>
      <c r="S100" s="223"/>
      <c r="T100" s="223"/>
      <c r="U100" s="223"/>
      <c r="V100" s="223"/>
      <c r="AK100" s="114"/>
      <c r="AL100" s="84">
        <v>83</v>
      </c>
      <c r="AM100" s="97">
        <v>0.086923</v>
      </c>
      <c r="AN100" s="86">
        <v>38401</v>
      </c>
      <c r="AO100" s="94">
        <v>6.49</v>
      </c>
      <c r="AP100" s="94">
        <v>0.062971</v>
      </c>
      <c r="AQ100" s="86">
        <v>52942</v>
      </c>
      <c r="AR100" s="94">
        <v>7.77</v>
      </c>
      <c r="AS100" s="114"/>
      <c r="AT100" s="79"/>
      <c r="AU100" s="114"/>
    </row>
    <row r="101" spans="2:47" ht="15" thickBot="1">
      <c r="B101" s="424" t="s">
        <v>51</v>
      </c>
      <c r="C101" s="424"/>
      <c r="D101" s="424"/>
      <c r="E101" s="424"/>
      <c r="F101" s="424"/>
      <c r="G101" s="424"/>
      <c r="H101" s="424"/>
      <c r="I101" s="425"/>
      <c r="J101" s="425"/>
      <c r="M101" s="223"/>
      <c r="N101" s="223"/>
      <c r="O101" s="223"/>
      <c r="P101" s="223"/>
      <c r="Q101" s="223"/>
      <c r="R101" s="223"/>
      <c r="S101" s="223"/>
      <c r="T101" s="223"/>
      <c r="U101" s="223"/>
      <c r="V101" s="223"/>
      <c r="AK101" s="114"/>
      <c r="AL101" s="84">
        <v>84</v>
      </c>
      <c r="AM101" s="97">
        <v>0.095935</v>
      </c>
      <c r="AN101" s="86">
        <v>35063</v>
      </c>
      <c r="AO101" s="94">
        <v>6.06</v>
      </c>
      <c r="AP101" s="94">
        <v>0.070259</v>
      </c>
      <c r="AQ101" s="86">
        <v>49608</v>
      </c>
      <c r="AR101" s="94">
        <v>7.26</v>
      </c>
      <c r="AS101" s="114"/>
      <c r="AT101" s="79"/>
      <c r="AU101" s="114"/>
    </row>
    <row r="102" spans="2:47" ht="15" thickBot="1">
      <c r="B102" s="424"/>
      <c r="C102" s="424"/>
      <c r="D102" s="424"/>
      <c r="E102" s="424"/>
      <c r="F102" s="424"/>
      <c r="G102" s="424"/>
      <c r="H102" s="424"/>
      <c r="I102" s="425"/>
      <c r="J102" s="425"/>
      <c r="M102" s="223"/>
      <c r="N102" s="223"/>
      <c r="O102" s="223"/>
      <c r="P102" s="223"/>
      <c r="Q102" s="223"/>
      <c r="R102" s="223"/>
      <c r="S102" s="223"/>
      <c r="T102" s="223"/>
      <c r="U102" s="223"/>
      <c r="V102" s="223"/>
      <c r="AK102" s="114"/>
      <c r="AL102" s="87">
        <v>85</v>
      </c>
      <c r="AM102" s="98">
        <v>0.105937</v>
      </c>
      <c r="AN102" s="89">
        <v>31699</v>
      </c>
      <c r="AO102" s="95">
        <v>5.65</v>
      </c>
      <c r="AP102" s="95">
        <v>0.078471</v>
      </c>
      <c r="AQ102" s="89">
        <v>46123</v>
      </c>
      <c r="AR102" s="95">
        <v>6.77</v>
      </c>
      <c r="AS102" s="114"/>
      <c r="AT102" s="79"/>
      <c r="AU102" s="114"/>
    </row>
    <row r="103" spans="2:47" ht="15" thickBot="1">
      <c r="B103" s="424"/>
      <c r="C103" s="424"/>
      <c r="D103" s="424"/>
      <c r="E103" s="424"/>
      <c r="F103" s="424"/>
      <c r="G103" s="424"/>
      <c r="H103" s="424"/>
      <c r="I103" s="425"/>
      <c r="J103" s="425"/>
      <c r="M103" s="223"/>
      <c r="N103" s="223"/>
      <c r="O103" s="223"/>
      <c r="P103" s="223"/>
      <c r="Q103" s="223"/>
      <c r="R103" s="223"/>
      <c r="S103" s="223"/>
      <c r="T103" s="223"/>
      <c r="U103" s="223"/>
      <c r="V103" s="223"/>
      <c r="AK103" s="114"/>
      <c r="AL103" s="87">
        <v>86</v>
      </c>
      <c r="AM103" s="98">
        <v>0.117063</v>
      </c>
      <c r="AN103" s="89">
        <v>28341</v>
      </c>
      <c r="AO103" s="95">
        <v>5.26</v>
      </c>
      <c r="AP103" s="95">
        <v>0.087713</v>
      </c>
      <c r="AQ103" s="89">
        <v>42504</v>
      </c>
      <c r="AR103" s="95">
        <v>6.31</v>
      </c>
      <c r="AS103" s="114"/>
      <c r="AT103" s="79"/>
      <c r="AU103" s="114"/>
    </row>
    <row r="104" spans="2:47" ht="15" thickBot="1">
      <c r="B104" s="426" t="s">
        <v>52</v>
      </c>
      <c r="C104" s="426"/>
      <c r="D104" s="426"/>
      <c r="E104" s="426"/>
      <c r="F104" s="426"/>
      <c r="G104" s="426"/>
      <c r="H104" s="426"/>
      <c r="I104" s="423"/>
      <c r="J104" s="423"/>
      <c r="M104" s="223"/>
      <c r="N104" s="223"/>
      <c r="O104" s="223"/>
      <c r="P104" s="223"/>
      <c r="Q104" s="223"/>
      <c r="R104" s="223"/>
      <c r="S104" s="223"/>
      <c r="T104" s="223"/>
      <c r="U104" s="223"/>
      <c r="V104" s="223"/>
      <c r="AK104" s="114"/>
      <c r="AL104" s="87">
        <v>87</v>
      </c>
      <c r="AM104" s="98">
        <v>0.129407</v>
      </c>
      <c r="AN104" s="89">
        <v>25024</v>
      </c>
      <c r="AO104" s="95">
        <v>4.89</v>
      </c>
      <c r="AP104" s="95">
        <v>0.098064</v>
      </c>
      <c r="AQ104" s="89">
        <v>38776</v>
      </c>
      <c r="AR104" s="95">
        <v>5.87</v>
      </c>
      <c r="AS104" s="114"/>
      <c r="AT104" s="79"/>
      <c r="AU104" s="114"/>
    </row>
    <row r="105" spans="2:47" ht="15" thickBot="1">
      <c r="B105" s="426"/>
      <c r="C105" s="426"/>
      <c r="D105" s="426"/>
      <c r="E105" s="426"/>
      <c r="F105" s="426"/>
      <c r="G105" s="426"/>
      <c r="H105" s="426"/>
      <c r="I105" s="423"/>
      <c r="J105" s="423"/>
      <c r="M105" s="223"/>
      <c r="N105" s="223"/>
      <c r="O105" s="223"/>
      <c r="P105" s="223"/>
      <c r="Q105" s="223"/>
      <c r="R105" s="223"/>
      <c r="S105" s="223"/>
      <c r="T105" s="223"/>
      <c r="U105" s="223"/>
      <c r="V105" s="223"/>
      <c r="AK105" s="114"/>
      <c r="AL105" s="87">
        <v>88</v>
      </c>
      <c r="AM105" s="98">
        <v>0.143015</v>
      </c>
      <c r="AN105" s="89">
        <v>21785</v>
      </c>
      <c r="AO105" s="95">
        <v>4.55</v>
      </c>
      <c r="AP105" s="95">
        <v>0.109578</v>
      </c>
      <c r="AQ105" s="89">
        <v>34973</v>
      </c>
      <c r="AR105" s="95">
        <v>5.45</v>
      </c>
      <c r="AS105" s="114"/>
      <c r="AT105" s="79"/>
      <c r="AU105" s="114"/>
    </row>
    <row r="106" spans="2:47" ht="15" thickBot="1">
      <c r="B106" s="426"/>
      <c r="C106" s="426"/>
      <c r="D106" s="426"/>
      <c r="E106" s="426"/>
      <c r="F106" s="426"/>
      <c r="G106" s="426"/>
      <c r="H106" s="426"/>
      <c r="I106" s="423"/>
      <c r="J106" s="423"/>
      <c r="M106" s="223"/>
      <c r="N106" s="223"/>
      <c r="O106" s="223"/>
      <c r="P106" s="223"/>
      <c r="Q106" s="223"/>
      <c r="R106" s="223"/>
      <c r="S106" s="223"/>
      <c r="T106" s="223"/>
      <c r="U106" s="223"/>
      <c r="V106" s="223"/>
      <c r="AK106" s="114"/>
      <c r="AL106" s="87">
        <v>89</v>
      </c>
      <c r="AM106" s="98">
        <v>0.157889</v>
      </c>
      <c r="AN106" s="89">
        <v>18670</v>
      </c>
      <c r="AO106" s="95">
        <v>4.22</v>
      </c>
      <c r="AP106" s="95">
        <v>0.122283</v>
      </c>
      <c r="AQ106" s="89">
        <v>31141</v>
      </c>
      <c r="AR106" s="95">
        <v>5.06</v>
      </c>
      <c r="AS106" s="114"/>
      <c r="AT106" s="79"/>
      <c r="AU106" s="114"/>
    </row>
    <row r="107" spans="2:47" ht="15" thickBot="1">
      <c r="B107" s="426"/>
      <c r="C107" s="426"/>
      <c r="D107" s="426"/>
      <c r="E107" s="426"/>
      <c r="F107" s="426"/>
      <c r="G107" s="426"/>
      <c r="H107" s="426"/>
      <c r="I107" s="423"/>
      <c r="J107" s="423"/>
      <c r="M107" s="223"/>
      <c r="N107" s="223"/>
      <c r="O107" s="223"/>
      <c r="P107" s="223"/>
      <c r="Q107" s="223"/>
      <c r="R107" s="223"/>
      <c r="S107" s="223"/>
      <c r="T107" s="223"/>
      <c r="U107" s="223"/>
      <c r="V107" s="223"/>
      <c r="AK107" s="114"/>
      <c r="AL107" s="84">
        <v>90</v>
      </c>
      <c r="AM107" s="97">
        <v>0.174013</v>
      </c>
      <c r="AN107" s="86">
        <v>15722</v>
      </c>
      <c r="AO107" s="94">
        <v>3.92</v>
      </c>
      <c r="AP107" s="94">
        <v>0.13619</v>
      </c>
      <c r="AQ107" s="86">
        <v>27333</v>
      </c>
      <c r="AR107" s="94">
        <v>4.69</v>
      </c>
      <c r="AS107" s="114"/>
      <c r="AT107" s="79"/>
      <c r="AU107" s="114"/>
    </row>
    <row r="108" spans="2:47" ht="15" thickBot="1">
      <c r="B108" s="426"/>
      <c r="C108" s="426"/>
      <c r="D108" s="426"/>
      <c r="E108" s="426"/>
      <c r="F108" s="426"/>
      <c r="G108" s="426"/>
      <c r="H108" s="426"/>
      <c r="I108" s="423"/>
      <c r="J108" s="423"/>
      <c r="M108" s="223"/>
      <c r="N108" s="223"/>
      <c r="O108" s="223"/>
      <c r="P108" s="223"/>
      <c r="Q108" s="223"/>
      <c r="R108" s="223"/>
      <c r="S108" s="223"/>
      <c r="T108" s="223"/>
      <c r="U108" s="223"/>
      <c r="V108" s="223"/>
      <c r="AK108" s="114"/>
      <c r="AL108" s="84">
        <v>91</v>
      </c>
      <c r="AM108" s="97">
        <v>0.191354</v>
      </c>
      <c r="AN108" s="86">
        <v>12986</v>
      </c>
      <c r="AO108" s="94">
        <v>3.64</v>
      </c>
      <c r="AP108" s="94">
        <v>0.1513</v>
      </c>
      <c r="AQ108" s="86">
        <v>23610</v>
      </c>
      <c r="AR108" s="94">
        <v>4.36</v>
      </c>
      <c r="AS108" s="114"/>
      <c r="AT108" s="79"/>
      <c r="AU108" s="114"/>
    </row>
    <row r="109" spans="2:47" ht="15" thickBot="1">
      <c r="B109" s="426"/>
      <c r="C109" s="426"/>
      <c r="D109" s="426"/>
      <c r="E109" s="426"/>
      <c r="F109" s="426"/>
      <c r="G109" s="426"/>
      <c r="H109" s="426"/>
      <c r="I109" s="423"/>
      <c r="J109" s="423"/>
      <c r="M109" s="223"/>
      <c r="N109" s="223"/>
      <c r="O109" s="223"/>
      <c r="P109" s="223"/>
      <c r="Q109" s="223"/>
      <c r="R109" s="223"/>
      <c r="S109" s="223"/>
      <c r="T109" s="223"/>
      <c r="U109" s="223"/>
      <c r="V109" s="223"/>
      <c r="AK109" s="114"/>
      <c r="AL109" s="84">
        <v>92</v>
      </c>
      <c r="AM109" s="97">
        <v>0.209867</v>
      </c>
      <c r="AN109" s="86">
        <v>10501</v>
      </c>
      <c r="AO109" s="94">
        <v>3.38</v>
      </c>
      <c r="AP109" s="94">
        <v>0.167602</v>
      </c>
      <c r="AQ109" s="86">
        <v>20038</v>
      </c>
      <c r="AR109" s="94">
        <v>4.04</v>
      </c>
      <c r="AS109" s="114"/>
      <c r="AT109" s="79"/>
      <c r="AU109" s="114"/>
    </row>
    <row r="110" spans="2:47" ht="15" thickBot="1">
      <c r="B110" s="426" t="s">
        <v>53</v>
      </c>
      <c r="C110" s="426"/>
      <c r="D110" s="426"/>
      <c r="E110" s="426"/>
      <c r="F110" s="426"/>
      <c r="G110" s="426"/>
      <c r="H110" s="426"/>
      <c r="I110" s="423"/>
      <c r="J110" s="423"/>
      <c r="M110" s="223"/>
      <c r="N110" s="223"/>
      <c r="O110" s="223"/>
      <c r="P110" s="223"/>
      <c r="Q110" s="223"/>
      <c r="R110" s="223"/>
      <c r="S110" s="223"/>
      <c r="T110" s="223"/>
      <c r="U110" s="223"/>
      <c r="V110" s="223"/>
      <c r="AK110" s="114"/>
      <c r="AL110" s="84">
        <v>93</v>
      </c>
      <c r="AM110" s="97">
        <v>0.229502</v>
      </c>
      <c r="AN110" s="86">
        <v>8297</v>
      </c>
      <c r="AO110" s="94">
        <v>3.15</v>
      </c>
      <c r="AP110" s="94">
        <v>0.185078</v>
      </c>
      <c r="AQ110" s="86">
        <v>16680</v>
      </c>
      <c r="AR110" s="94">
        <v>3.76</v>
      </c>
      <c r="AS110" s="114"/>
      <c r="AT110" s="79"/>
      <c r="AU110" s="114"/>
    </row>
    <row r="111" spans="2:47" ht="15" thickBot="1">
      <c r="B111" s="427"/>
      <c r="C111" s="427"/>
      <c r="D111" s="427"/>
      <c r="E111" s="427"/>
      <c r="F111" s="427"/>
      <c r="G111" s="427"/>
      <c r="H111" s="427"/>
      <c r="I111" s="423"/>
      <c r="J111" s="423"/>
      <c r="M111" s="223"/>
      <c r="N111" s="223"/>
      <c r="O111" s="223"/>
      <c r="P111" s="223"/>
      <c r="Q111" s="223"/>
      <c r="R111" s="223"/>
      <c r="S111" s="223"/>
      <c r="T111" s="223"/>
      <c r="U111" s="223"/>
      <c r="V111" s="223"/>
      <c r="AK111" s="114"/>
      <c r="AL111" s="84">
        <v>94</v>
      </c>
      <c r="AM111" s="97">
        <v>0.250198</v>
      </c>
      <c r="AN111" s="86">
        <v>6393</v>
      </c>
      <c r="AO111" s="94">
        <v>2.93</v>
      </c>
      <c r="AP111" s="94">
        <v>0.2037</v>
      </c>
      <c r="AQ111" s="86">
        <v>13593</v>
      </c>
      <c r="AR111" s="94">
        <v>3.5</v>
      </c>
      <c r="AS111" s="114"/>
      <c r="AT111" s="79"/>
      <c r="AU111" s="114"/>
    </row>
    <row r="112" spans="2:47" ht="15" thickBot="1">
      <c r="B112" s="427"/>
      <c r="C112" s="427"/>
      <c r="D112" s="427"/>
      <c r="E112" s="427"/>
      <c r="F112" s="427"/>
      <c r="G112" s="427"/>
      <c r="H112" s="427"/>
      <c r="I112" s="423"/>
      <c r="J112" s="423"/>
      <c r="M112" s="223"/>
      <c r="N112" s="223"/>
      <c r="O112" s="223"/>
      <c r="P112" s="223"/>
      <c r="Q112" s="223"/>
      <c r="R112" s="223"/>
      <c r="S112" s="223"/>
      <c r="T112" s="223"/>
      <c r="U112" s="223"/>
      <c r="V112" s="223"/>
      <c r="AK112" s="114"/>
      <c r="AL112" s="87">
        <v>95</v>
      </c>
      <c r="AM112" s="98">
        <v>0.27075</v>
      </c>
      <c r="AN112" s="89">
        <v>4794</v>
      </c>
      <c r="AO112" s="95">
        <v>2.75</v>
      </c>
      <c r="AP112" s="95">
        <v>0.222541</v>
      </c>
      <c r="AQ112" s="89">
        <v>10824</v>
      </c>
      <c r="AR112" s="95">
        <v>3.26</v>
      </c>
      <c r="AS112" s="114"/>
      <c r="AT112" s="79"/>
      <c r="AU112" s="114"/>
    </row>
    <row r="113" spans="2:47" ht="15" thickBot="1">
      <c r="B113" s="427"/>
      <c r="C113" s="427"/>
      <c r="D113" s="427"/>
      <c r="E113" s="427"/>
      <c r="F113" s="427"/>
      <c r="G113" s="427"/>
      <c r="H113" s="427"/>
      <c r="I113" s="423"/>
      <c r="J113" s="423"/>
      <c r="M113" s="223"/>
      <c r="N113" s="223"/>
      <c r="O113" s="223"/>
      <c r="P113" s="223"/>
      <c r="Q113" s="223"/>
      <c r="R113" s="223"/>
      <c r="S113" s="223"/>
      <c r="T113" s="223"/>
      <c r="U113" s="223"/>
      <c r="V113" s="223"/>
      <c r="AK113" s="114"/>
      <c r="AL113" s="87">
        <v>96</v>
      </c>
      <c r="AM113" s="98">
        <v>0.290814</v>
      </c>
      <c r="AN113" s="89">
        <v>3496</v>
      </c>
      <c r="AO113" s="95">
        <v>2.58</v>
      </c>
      <c r="AP113" s="95">
        <v>0.241317</v>
      </c>
      <c r="AQ113" s="89">
        <v>8415</v>
      </c>
      <c r="AR113" s="95">
        <v>3.05</v>
      </c>
      <c r="AS113" s="114"/>
      <c r="AT113" s="79"/>
      <c r="AU113" s="114"/>
    </row>
    <row r="114" spans="2:47" ht="15" thickBot="1">
      <c r="B114" s="427"/>
      <c r="C114" s="427"/>
      <c r="D114" s="427"/>
      <c r="E114" s="427"/>
      <c r="F114" s="427"/>
      <c r="G114" s="427"/>
      <c r="H114" s="427"/>
      <c r="I114" s="423"/>
      <c r="J114" s="423"/>
      <c r="M114" s="223"/>
      <c r="N114" s="223"/>
      <c r="O114" s="223"/>
      <c r="P114" s="223"/>
      <c r="Q114" s="223"/>
      <c r="R114" s="223"/>
      <c r="S114" s="223"/>
      <c r="T114" s="223"/>
      <c r="U114" s="223"/>
      <c r="V114" s="223"/>
      <c r="AK114" s="114"/>
      <c r="AL114" s="87">
        <v>97</v>
      </c>
      <c r="AM114" s="98">
        <v>0.310029</v>
      </c>
      <c r="AN114" s="89">
        <v>2479</v>
      </c>
      <c r="AO114" s="95">
        <v>2.44</v>
      </c>
      <c r="AP114" s="95">
        <v>0.259716</v>
      </c>
      <c r="AQ114" s="89">
        <v>6384</v>
      </c>
      <c r="AR114" s="95">
        <v>2.87</v>
      </c>
      <c r="AS114" s="114"/>
      <c r="AT114" s="79"/>
      <c r="AU114" s="114"/>
    </row>
    <row r="115" spans="2:47" ht="15" thickBot="1">
      <c r="B115" s="427"/>
      <c r="C115" s="427"/>
      <c r="D115" s="427"/>
      <c r="E115" s="427"/>
      <c r="F115" s="427"/>
      <c r="G115" s="427"/>
      <c r="H115" s="427"/>
      <c r="I115" s="423"/>
      <c r="J115" s="423"/>
      <c r="M115" s="223"/>
      <c r="N115" s="223"/>
      <c r="O115" s="223"/>
      <c r="P115" s="223"/>
      <c r="Q115" s="223"/>
      <c r="R115" s="223"/>
      <c r="S115" s="223"/>
      <c r="T115" s="223"/>
      <c r="U115" s="223"/>
      <c r="V115" s="223"/>
      <c r="AK115" s="114"/>
      <c r="AL115" s="87">
        <v>98</v>
      </c>
      <c r="AM115" s="98">
        <v>0.328021</v>
      </c>
      <c r="AN115" s="89">
        <v>1711</v>
      </c>
      <c r="AO115" s="95">
        <v>2.3</v>
      </c>
      <c r="AP115" s="95">
        <v>0.277409</v>
      </c>
      <c r="AQ115" s="89">
        <v>4726</v>
      </c>
      <c r="AR115" s="95">
        <v>2.7</v>
      </c>
      <c r="AS115" s="114"/>
      <c r="AT115" s="79"/>
      <c r="AU115" s="114"/>
    </row>
    <row r="116" spans="2:47" ht="15" thickBot="1">
      <c r="B116" s="427"/>
      <c r="C116" s="427"/>
      <c r="D116" s="427"/>
      <c r="E116" s="427"/>
      <c r="F116" s="427"/>
      <c r="G116" s="427"/>
      <c r="H116" s="427"/>
      <c r="I116" s="423"/>
      <c r="J116" s="423"/>
      <c r="M116" s="223"/>
      <c r="N116" s="223"/>
      <c r="O116" s="223"/>
      <c r="P116" s="223"/>
      <c r="Q116" s="223"/>
      <c r="R116" s="223"/>
      <c r="S116" s="223"/>
      <c r="T116" s="223"/>
      <c r="U116" s="223"/>
      <c r="V116" s="223"/>
      <c r="AK116" s="114"/>
      <c r="AL116" s="87">
        <v>99</v>
      </c>
      <c r="AM116" s="98">
        <v>0.344422</v>
      </c>
      <c r="AN116" s="89">
        <v>1149</v>
      </c>
      <c r="AO116" s="95">
        <v>2.19</v>
      </c>
      <c r="AP116" s="95">
        <v>0.294054</v>
      </c>
      <c r="AQ116" s="89">
        <v>3415</v>
      </c>
      <c r="AR116" s="95">
        <v>2.54</v>
      </c>
      <c r="AS116" s="114"/>
      <c r="AT116" s="79"/>
      <c r="AU116" s="114"/>
    </row>
    <row r="117" spans="2:47" ht="15" thickBot="1">
      <c r="B117" s="427"/>
      <c r="C117" s="427"/>
      <c r="D117" s="427"/>
      <c r="E117" s="427"/>
      <c r="F117" s="427"/>
      <c r="G117" s="427"/>
      <c r="H117" s="427"/>
      <c r="I117" s="423"/>
      <c r="J117" s="423"/>
      <c r="M117" s="223"/>
      <c r="N117" s="223"/>
      <c r="O117" s="223"/>
      <c r="P117" s="223"/>
      <c r="Q117" s="223"/>
      <c r="R117" s="223"/>
      <c r="S117" s="223"/>
      <c r="T117" s="223"/>
      <c r="U117" s="223"/>
      <c r="V117" s="223"/>
      <c r="AK117" s="114"/>
      <c r="AL117" s="84">
        <v>100</v>
      </c>
      <c r="AM117" s="97">
        <v>0.361644</v>
      </c>
      <c r="AN117" s="85">
        <v>754</v>
      </c>
      <c r="AO117" s="94">
        <v>2.07</v>
      </c>
      <c r="AP117" s="94">
        <v>0.311697</v>
      </c>
      <c r="AQ117" s="86">
        <v>2411</v>
      </c>
      <c r="AR117" s="94">
        <v>2.39</v>
      </c>
      <c r="AS117" s="114"/>
      <c r="AT117" s="79"/>
      <c r="AU117" s="114"/>
    </row>
    <row r="118" spans="2:47" ht="15" thickBot="1">
      <c r="B118" s="427"/>
      <c r="C118" s="427"/>
      <c r="D118" s="427"/>
      <c r="E118" s="427"/>
      <c r="F118" s="427"/>
      <c r="G118" s="427"/>
      <c r="H118" s="427"/>
      <c r="I118" s="423"/>
      <c r="J118" s="423"/>
      <c r="M118" s="223"/>
      <c r="N118" s="223"/>
      <c r="O118" s="223"/>
      <c r="P118" s="223"/>
      <c r="Q118" s="223"/>
      <c r="R118" s="223"/>
      <c r="S118" s="223"/>
      <c r="T118" s="223"/>
      <c r="U118" s="223"/>
      <c r="V118" s="223"/>
      <c r="AK118" s="114"/>
      <c r="AL118" s="84">
        <v>101</v>
      </c>
      <c r="AM118" s="97">
        <v>0.379726</v>
      </c>
      <c r="AN118" s="85">
        <v>481</v>
      </c>
      <c r="AO118" s="94">
        <v>1.96</v>
      </c>
      <c r="AP118" s="94">
        <v>0.330399</v>
      </c>
      <c r="AQ118" s="86">
        <v>1659</v>
      </c>
      <c r="AR118" s="94">
        <v>2.25</v>
      </c>
      <c r="AS118" s="114"/>
      <c r="AT118" s="79"/>
      <c r="AU118" s="114"/>
    </row>
    <row r="119" spans="13:47" ht="15" thickBot="1">
      <c r="M119" s="223"/>
      <c r="N119" s="223"/>
      <c r="O119" s="223"/>
      <c r="P119" s="223"/>
      <c r="Q119" s="223"/>
      <c r="R119" s="223"/>
      <c r="S119" s="223"/>
      <c r="T119" s="223"/>
      <c r="U119" s="223"/>
      <c r="V119" s="223"/>
      <c r="AK119" s="114"/>
      <c r="AL119" s="84">
        <v>102</v>
      </c>
      <c r="AM119" s="97">
        <v>0.398712</v>
      </c>
      <c r="AN119" s="85">
        <v>298</v>
      </c>
      <c r="AO119" s="94">
        <v>1.85</v>
      </c>
      <c r="AP119" s="94">
        <v>0.350223</v>
      </c>
      <c r="AQ119" s="86">
        <v>1111</v>
      </c>
      <c r="AR119" s="94">
        <v>2.11</v>
      </c>
      <c r="AS119" s="114"/>
      <c r="AT119" s="79"/>
      <c r="AU119" s="114"/>
    </row>
    <row r="120" spans="13:47" ht="15" thickBot="1">
      <c r="M120" s="223"/>
      <c r="N120" s="223"/>
      <c r="O120" s="223"/>
      <c r="P120" s="223"/>
      <c r="Q120" s="223"/>
      <c r="R120" s="223"/>
      <c r="S120" s="223"/>
      <c r="T120" s="223"/>
      <c r="U120" s="223"/>
      <c r="V120" s="223"/>
      <c r="AK120" s="114"/>
      <c r="AL120" s="84">
        <v>103</v>
      </c>
      <c r="AM120" s="97">
        <v>0.418648</v>
      </c>
      <c r="AN120" s="85">
        <v>179</v>
      </c>
      <c r="AO120" s="94">
        <v>1.75</v>
      </c>
      <c r="AP120" s="94">
        <v>0.371236</v>
      </c>
      <c r="AQ120" s="85">
        <v>722</v>
      </c>
      <c r="AR120" s="94">
        <v>1.98</v>
      </c>
      <c r="AS120" s="114"/>
      <c r="AT120" s="79"/>
      <c r="AU120" s="114"/>
    </row>
    <row r="121" spans="13:47" ht="15" thickBot="1">
      <c r="M121" s="223"/>
      <c r="N121" s="223"/>
      <c r="O121" s="223"/>
      <c r="P121" s="223"/>
      <c r="Q121" s="223"/>
      <c r="R121" s="223"/>
      <c r="S121" s="223"/>
      <c r="T121" s="223"/>
      <c r="U121" s="223"/>
      <c r="V121" s="223"/>
      <c r="AK121" s="114"/>
      <c r="AL121" s="84">
        <v>104</v>
      </c>
      <c r="AM121" s="97">
        <v>0.43958</v>
      </c>
      <c r="AN121" s="85">
        <v>104</v>
      </c>
      <c r="AO121" s="94">
        <v>1.66</v>
      </c>
      <c r="AP121" s="94">
        <v>0.39351</v>
      </c>
      <c r="AQ121" s="85">
        <v>454</v>
      </c>
      <c r="AR121" s="94">
        <v>1.86</v>
      </c>
      <c r="AS121" s="114"/>
      <c r="AT121" s="79"/>
      <c r="AU121" s="114"/>
    </row>
    <row r="122" spans="13:47" ht="15" thickBot="1">
      <c r="M122" s="223"/>
      <c r="N122" s="223"/>
      <c r="O122" s="223"/>
      <c r="P122" s="223"/>
      <c r="Q122" s="223"/>
      <c r="R122" s="223"/>
      <c r="S122" s="223"/>
      <c r="T122" s="223"/>
      <c r="U122" s="223"/>
      <c r="V122" s="223"/>
      <c r="AK122" s="114"/>
      <c r="AL122" s="87">
        <v>105</v>
      </c>
      <c r="AM122" s="98">
        <v>0.461559</v>
      </c>
      <c r="AN122" s="88">
        <v>58</v>
      </c>
      <c r="AO122" s="95">
        <v>1.56</v>
      </c>
      <c r="AP122" s="95">
        <v>0.417121</v>
      </c>
      <c r="AQ122" s="88">
        <v>275</v>
      </c>
      <c r="AR122" s="95">
        <v>1.74</v>
      </c>
      <c r="AS122" s="114"/>
      <c r="AT122" s="79"/>
      <c r="AU122" s="114"/>
    </row>
    <row r="123" spans="13:47" ht="15" thickBot="1">
      <c r="M123" s="223"/>
      <c r="N123" s="223"/>
      <c r="O123" s="223"/>
      <c r="P123" s="223"/>
      <c r="Q123" s="223"/>
      <c r="R123" s="223"/>
      <c r="S123" s="223"/>
      <c r="T123" s="223"/>
      <c r="U123" s="223"/>
      <c r="V123" s="223"/>
      <c r="AK123" s="114"/>
      <c r="AL123" s="87">
        <v>106</v>
      </c>
      <c r="AM123" s="98">
        <v>0.484637</v>
      </c>
      <c r="AN123" s="88">
        <v>31</v>
      </c>
      <c r="AO123" s="95">
        <v>1.47</v>
      </c>
      <c r="AP123" s="95">
        <v>0.442148</v>
      </c>
      <c r="AQ123" s="88">
        <v>160</v>
      </c>
      <c r="AR123" s="95">
        <v>1.62</v>
      </c>
      <c r="AS123" s="114"/>
      <c r="AT123" s="79"/>
      <c r="AU123" s="114"/>
    </row>
    <row r="124" spans="13:47" ht="15" thickBot="1">
      <c r="M124" s="223"/>
      <c r="N124" s="223"/>
      <c r="O124" s="223"/>
      <c r="P124" s="223"/>
      <c r="Q124" s="223"/>
      <c r="R124" s="223"/>
      <c r="S124" s="223"/>
      <c r="T124" s="223"/>
      <c r="U124" s="223"/>
      <c r="V124" s="223"/>
      <c r="AK124" s="114"/>
      <c r="AL124" s="87">
        <v>107</v>
      </c>
      <c r="AM124" s="98">
        <v>0.508869</v>
      </c>
      <c r="AN124" s="88">
        <v>16</v>
      </c>
      <c r="AO124" s="95">
        <v>1.39</v>
      </c>
      <c r="AP124" s="95">
        <v>0.468677</v>
      </c>
      <c r="AQ124" s="88">
        <v>90</v>
      </c>
      <c r="AR124" s="95">
        <v>1.52</v>
      </c>
      <c r="AS124" s="114"/>
      <c r="AT124" s="79"/>
      <c r="AU124" s="114"/>
    </row>
    <row r="125" spans="13:47" ht="15" thickBot="1">
      <c r="M125" s="223"/>
      <c r="N125" s="223"/>
      <c r="O125" s="223"/>
      <c r="P125" s="223"/>
      <c r="Q125" s="223"/>
      <c r="R125" s="223"/>
      <c r="S125" s="223"/>
      <c r="T125" s="223"/>
      <c r="U125" s="223"/>
      <c r="V125" s="223"/>
      <c r="AK125" s="114"/>
      <c r="AL125" s="87">
        <v>108</v>
      </c>
      <c r="AM125" s="98">
        <v>0.534312</v>
      </c>
      <c r="AN125" s="88">
        <v>8</v>
      </c>
      <c r="AO125" s="95">
        <v>1.3</v>
      </c>
      <c r="AP125" s="95">
        <v>0.496798</v>
      </c>
      <c r="AQ125" s="88">
        <v>48</v>
      </c>
      <c r="AR125" s="95">
        <v>1.41</v>
      </c>
      <c r="AS125" s="114"/>
      <c r="AT125" s="79"/>
      <c r="AU125" s="114"/>
    </row>
    <row r="126" spans="13:47" ht="15" thickBot="1">
      <c r="M126" s="223"/>
      <c r="N126" s="223"/>
      <c r="O126" s="223"/>
      <c r="P126" s="223"/>
      <c r="Q126" s="223"/>
      <c r="R126" s="223"/>
      <c r="S126" s="223"/>
      <c r="T126" s="223"/>
      <c r="U126" s="223"/>
      <c r="V126" s="223"/>
      <c r="AK126" s="114"/>
      <c r="AL126" s="87">
        <v>109</v>
      </c>
      <c r="AM126" s="98">
        <v>0.561028</v>
      </c>
      <c r="AN126" s="88">
        <v>4</v>
      </c>
      <c r="AO126" s="95">
        <v>1.22</v>
      </c>
      <c r="AP126" s="95">
        <v>0.526605</v>
      </c>
      <c r="AQ126" s="88">
        <v>24</v>
      </c>
      <c r="AR126" s="95">
        <v>1.31</v>
      </c>
      <c r="AS126" s="114"/>
      <c r="AT126" s="79"/>
      <c r="AU126" s="114"/>
    </row>
    <row r="127" spans="13:47" ht="15" thickBot="1">
      <c r="M127" s="223"/>
      <c r="N127" s="223"/>
      <c r="O127" s="223"/>
      <c r="P127" s="223"/>
      <c r="Q127" s="223"/>
      <c r="R127" s="223"/>
      <c r="S127" s="223"/>
      <c r="T127" s="223"/>
      <c r="U127" s="223"/>
      <c r="V127" s="223"/>
      <c r="AK127" s="114"/>
      <c r="AL127" s="84">
        <v>110</v>
      </c>
      <c r="AM127" s="97">
        <v>0.589079</v>
      </c>
      <c r="AN127" s="85">
        <v>2</v>
      </c>
      <c r="AO127" s="94">
        <v>1.15</v>
      </c>
      <c r="AP127" s="94">
        <v>0.558202</v>
      </c>
      <c r="AQ127" s="85">
        <v>11</v>
      </c>
      <c r="AR127" s="94">
        <v>1.22</v>
      </c>
      <c r="AS127" s="114"/>
      <c r="AT127" s="79"/>
      <c r="AU127" s="114"/>
    </row>
    <row r="128" spans="13:47" ht="15" thickBot="1">
      <c r="M128" s="223"/>
      <c r="N128" s="223"/>
      <c r="O128" s="223"/>
      <c r="P128" s="223"/>
      <c r="Q128" s="223"/>
      <c r="R128" s="223"/>
      <c r="S128" s="223"/>
      <c r="T128" s="223"/>
      <c r="U128" s="223"/>
      <c r="V128" s="223"/>
      <c r="AK128" s="114"/>
      <c r="AL128" s="84">
        <v>111</v>
      </c>
      <c r="AM128" s="97">
        <v>0.618533</v>
      </c>
      <c r="AN128" s="85">
        <v>1</v>
      </c>
      <c r="AO128" s="94">
        <v>1.07</v>
      </c>
      <c r="AP128" s="94">
        <v>0.591694</v>
      </c>
      <c r="AQ128" s="85">
        <v>5</v>
      </c>
      <c r="AR128" s="94">
        <v>1.13</v>
      </c>
      <c r="AS128" s="114"/>
      <c r="AT128" s="79"/>
      <c r="AU128" s="114"/>
    </row>
    <row r="129" spans="13:47" ht="15" thickBot="1">
      <c r="M129" s="223"/>
      <c r="N129" s="223"/>
      <c r="O129" s="223"/>
      <c r="P129" s="223"/>
      <c r="Q129" s="223"/>
      <c r="R129" s="223"/>
      <c r="S129" s="223"/>
      <c r="T129" s="223"/>
      <c r="U129" s="223"/>
      <c r="V129" s="223"/>
      <c r="AK129" s="114"/>
      <c r="AL129" s="84">
        <v>112</v>
      </c>
      <c r="AM129" s="97">
        <v>0.64946</v>
      </c>
      <c r="AN129" s="85">
        <v>0</v>
      </c>
      <c r="AO129" s="94">
        <v>1</v>
      </c>
      <c r="AP129" s="94">
        <v>0.627196</v>
      </c>
      <c r="AQ129" s="85">
        <v>2</v>
      </c>
      <c r="AR129" s="94">
        <v>1.05</v>
      </c>
      <c r="AS129" s="114"/>
      <c r="AT129" s="79"/>
      <c r="AU129" s="114"/>
    </row>
    <row r="130" spans="13:47" ht="15" thickBot="1">
      <c r="M130" s="223"/>
      <c r="N130" s="223"/>
      <c r="O130" s="223"/>
      <c r="P130" s="223"/>
      <c r="Q130" s="223"/>
      <c r="R130" s="223"/>
      <c r="S130" s="223"/>
      <c r="T130" s="223"/>
      <c r="U130" s="223"/>
      <c r="V130" s="223"/>
      <c r="AK130" s="114"/>
      <c r="AL130" s="84">
        <v>113</v>
      </c>
      <c r="AM130" s="97">
        <v>0.681933</v>
      </c>
      <c r="AN130" s="85">
        <v>0</v>
      </c>
      <c r="AO130" s="94">
        <v>0.94</v>
      </c>
      <c r="AP130" s="94">
        <v>0.664827</v>
      </c>
      <c r="AQ130" s="85">
        <v>1</v>
      </c>
      <c r="AR130" s="94">
        <v>0.97</v>
      </c>
      <c r="AS130" s="114"/>
      <c r="AT130" s="79"/>
      <c r="AU130" s="114"/>
    </row>
    <row r="131" spans="13:47" ht="15" thickBot="1">
      <c r="M131" s="223"/>
      <c r="N131" s="223"/>
      <c r="O131" s="223"/>
      <c r="P131" s="223"/>
      <c r="Q131" s="223"/>
      <c r="R131" s="223"/>
      <c r="S131" s="223"/>
      <c r="T131" s="223"/>
      <c r="U131" s="223"/>
      <c r="V131" s="223"/>
      <c r="AK131" s="114"/>
      <c r="AL131" s="84">
        <v>114</v>
      </c>
      <c r="AM131" s="97">
        <v>0.716029</v>
      </c>
      <c r="AN131" s="85">
        <v>0</v>
      </c>
      <c r="AO131" s="94">
        <v>0.87</v>
      </c>
      <c r="AP131" s="94">
        <v>0.704717</v>
      </c>
      <c r="AQ131" s="85">
        <v>0</v>
      </c>
      <c r="AR131" s="94">
        <v>0.89</v>
      </c>
      <c r="AS131" s="114"/>
      <c r="AT131" s="79"/>
      <c r="AU131" s="114"/>
    </row>
    <row r="132" spans="13:47" ht="15" thickBot="1">
      <c r="M132" s="223"/>
      <c r="N132" s="223"/>
      <c r="O132" s="223"/>
      <c r="P132" s="223"/>
      <c r="Q132" s="223"/>
      <c r="R132" s="223"/>
      <c r="S132" s="223"/>
      <c r="T132" s="223"/>
      <c r="U132" s="223"/>
      <c r="V132" s="223"/>
      <c r="AK132" s="114"/>
      <c r="AL132" s="87">
        <v>115</v>
      </c>
      <c r="AM132" s="98">
        <v>0.751831</v>
      </c>
      <c r="AN132" s="88">
        <v>0</v>
      </c>
      <c r="AO132" s="95">
        <v>0.81</v>
      </c>
      <c r="AP132" s="95">
        <v>0.747</v>
      </c>
      <c r="AQ132" s="88">
        <v>0</v>
      </c>
      <c r="AR132" s="95">
        <v>0.82</v>
      </c>
      <c r="AS132" s="114"/>
      <c r="AT132" s="79"/>
      <c r="AU132" s="114"/>
    </row>
    <row r="133" spans="13:47" ht="15" thickBot="1">
      <c r="M133" s="223"/>
      <c r="N133" s="223"/>
      <c r="O133" s="223"/>
      <c r="P133" s="223"/>
      <c r="Q133" s="223"/>
      <c r="R133" s="223"/>
      <c r="S133" s="223"/>
      <c r="T133" s="223"/>
      <c r="U133" s="223"/>
      <c r="V133" s="223"/>
      <c r="AK133" s="114"/>
      <c r="AL133" s="87">
        <v>116</v>
      </c>
      <c r="AM133" s="98">
        <v>0.789422</v>
      </c>
      <c r="AN133" s="88">
        <v>0</v>
      </c>
      <c r="AO133" s="95">
        <v>0.75</v>
      </c>
      <c r="AP133" s="95">
        <v>0.789422</v>
      </c>
      <c r="AQ133" s="88">
        <v>0</v>
      </c>
      <c r="AR133" s="95">
        <v>0.75</v>
      </c>
      <c r="AS133" s="114"/>
      <c r="AT133" s="79"/>
      <c r="AU133" s="114"/>
    </row>
    <row r="134" spans="13:47" ht="15" thickBot="1">
      <c r="M134" s="223"/>
      <c r="N134" s="223"/>
      <c r="O134" s="223"/>
      <c r="P134" s="223"/>
      <c r="Q134" s="223"/>
      <c r="R134" s="223"/>
      <c r="S134" s="223"/>
      <c r="T134" s="223"/>
      <c r="U134" s="223"/>
      <c r="V134" s="223"/>
      <c r="AK134" s="114"/>
      <c r="AL134" s="87">
        <v>117</v>
      </c>
      <c r="AM134" s="98">
        <v>0.828894</v>
      </c>
      <c r="AN134" s="88">
        <v>0</v>
      </c>
      <c r="AO134" s="95">
        <v>0.7</v>
      </c>
      <c r="AP134" s="95">
        <v>0.828894</v>
      </c>
      <c r="AQ134" s="88">
        <v>0</v>
      </c>
      <c r="AR134" s="95">
        <v>0.7</v>
      </c>
      <c r="AS134" s="114"/>
      <c r="AT134" s="79"/>
      <c r="AU134" s="114"/>
    </row>
    <row r="135" spans="13:47" ht="15" customHeight="1" thickBot="1">
      <c r="M135" s="223"/>
      <c r="N135" s="223"/>
      <c r="O135" s="223"/>
      <c r="P135" s="223"/>
      <c r="Q135" s="223"/>
      <c r="R135" s="223"/>
      <c r="S135" s="223"/>
      <c r="T135" s="223"/>
      <c r="U135" s="223"/>
      <c r="V135" s="223"/>
      <c r="AK135" s="114"/>
      <c r="AL135" s="87">
        <v>118</v>
      </c>
      <c r="AM135" s="98">
        <v>0.870338</v>
      </c>
      <c r="AN135" s="88">
        <v>0</v>
      </c>
      <c r="AO135" s="95">
        <v>0.64</v>
      </c>
      <c r="AP135" s="95">
        <v>0.870338</v>
      </c>
      <c r="AQ135" s="88">
        <v>0</v>
      </c>
      <c r="AR135" s="95">
        <v>0.64</v>
      </c>
      <c r="AS135" s="114"/>
      <c r="AT135" s="79"/>
      <c r="AU135" s="114"/>
    </row>
    <row r="136" spans="13:47" ht="15" customHeight="1" thickBot="1">
      <c r="M136" s="223"/>
      <c r="N136" s="223"/>
      <c r="O136" s="223"/>
      <c r="P136" s="223"/>
      <c r="Q136" s="223"/>
      <c r="R136" s="223"/>
      <c r="S136" s="223"/>
      <c r="T136" s="223"/>
      <c r="U136" s="223"/>
      <c r="V136" s="223"/>
      <c r="AK136" s="114"/>
      <c r="AL136" s="92">
        <v>119</v>
      </c>
      <c r="AM136" s="99">
        <v>0.913855</v>
      </c>
      <c r="AN136" s="93">
        <v>0</v>
      </c>
      <c r="AO136" s="96">
        <v>0.59</v>
      </c>
      <c r="AP136" s="96">
        <v>0.913855</v>
      </c>
      <c r="AQ136" s="93">
        <v>0</v>
      </c>
      <c r="AR136" s="96">
        <v>0.59</v>
      </c>
      <c r="AS136" s="114"/>
      <c r="AT136" s="79"/>
      <c r="AU136" s="114"/>
    </row>
    <row r="137" spans="13:47" ht="15" customHeight="1">
      <c r="M137" s="223"/>
      <c r="N137" s="223"/>
      <c r="O137" s="223"/>
      <c r="P137" s="223"/>
      <c r="Q137" s="223"/>
      <c r="R137" s="223"/>
      <c r="S137" s="223"/>
      <c r="T137" s="223"/>
      <c r="U137" s="223"/>
      <c r="V137" s="223"/>
      <c r="AK137" s="114"/>
      <c r="AL137" s="394" t="s">
        <v>139</v>
      </c>
      <c r="AM137" s="395"/>
      <c r="AN137" s="395"/>
      <c r="AO137" s="395"/>
      <c r="AP137" s="395"/>
      <c r="AQ137" s="395"/>
      <c r="AR137" s="396"/>
      <c r="AS137" s="114"/>
      <c r="AT137" s="79"/>
      <c r="AU137" s="114"/>
    </row>
    <row r="138" spans="13:47" ht="15" customHeight="1">
      <c r="M138" s="223"/>
      <c r="N138" s="223"/>
      <c r="O138" s="223"/>
      <c r="P138" s="223"/>
      <c r="Q138" s="223"/>
      <c r="R138" s="223"/>
      <c r="S138" s="223"/>
      <c r="T138" s="223"/>
      <c r="U138" s="223"/>
      <c r="V138" s="223"/>
      <c r="AK138" s="114"/>
      <c r="AL138" s="397" t="s">
        <v>140</v>
      </c>
      <c r="AM138" s="398"/>
      <c r="AN138" s="398"/>
      <c r="AO138" s="398"/>
      <c r="AP138" s="398"/>
      <c r="AQ138" s="398"/>
      <c r="AR138" s="399"/>
      <c r="AS138" s="114"/>
      <c r="AT138" s="79"/>
      <c r="AU138" s="114"/>
    </row>
    <row r="139" spans="13:47" ht="15" customHeight="1">
      <c r="M139" s="223"/>
      <c r="N139" s="223"/>
      <c r="O139" s="223"/>
      <c r="P139" s="223"/>
      <c r="Q139" s="223"/>
      <c r="R139" s="223"/>
      <c r="S139" s="223"/>
      <c r="T139" s="223"/>
      <c r="U139" s="223"/>
      <c r="V139" s="223"/>
      <c r="AK139" s="114"/>
      <c r="AL139" s="381" t="s">
        <v>141</v>
      </c>
      <c r="AM139" s="382"/>
      <c r="AN139" s="382"/>
      <c r="AO139" s="382"/>
      <c r="AP139" s="382"/>
      <c r="AQ139" s="382"/>
      <c r="AR139" s="383"/>
      <c r="AS139" s="114"/>
      <c r="AT139" s="79"/>
      <c r="AU139" s="114"/>
    </row>
    <row r="140" spans="13:47" ht="15">
      <c r="M140" s="223"/>
      <c r="N140" s="223"/>
      <c r="O140" s="223"/>
      <c r="P140" s="223"/>
      <c r="Q140" s="223"/>
      <c r="R140" s="223"/>
      <c r="S140" s="223"/>
      <c r="T140" s="223"/>
      <c r="U140" s="223"/>
      <c r="V140" s="223"/>
      <c r="AK140" s="114"/>
      <c r="AL140" s="384"/>
      <c r="AM140" s="385"/>
      <c r="AN140" s="385"/>
      <c r="AO140" s="385"/>
      <c r="AP140" s="385"/>
      <c r="AQ140" s="385"/>
      <c r="AR140" s="386"/>
      <c r="AS140" s="114"/>
      <c r="AT140" s="79"/>
      <c r="AU140" s="114"/>
    </row>
    <row r="141" spans="13:47" ht="15">
      <c r="M141" s="223"/>
      <c r="N141" s="223"/>
      <c r="O141" s="223"/>
      <c r="P141" s="223"/>
      <c r="Q141" s="223"/>
      <c r="R141" s="223"/>
      <c r="S141" s="223"/>
      <c r="T141" s="223"/>
      <c r="U141" s="223"/>
      <c r="V141" s="223"/>
      <c r="AK141" s="114"/>
      <c r="AL141" s="384"/>
      <c r="AM141" s="385"/>
      <c r="AN141" s="385"/>
      <c r="AO141" s="385"/>
      <c r="AP141" s="385"/>
      <c r="AQ141" s="385"/>
      <c r="AR141" s="386"/>
      <c r="AS141" s="114"/>
      <c r="AT141" s="79"/>
      <c r="AU141" s="114"/>
    </row>
    <row r="142" spans="13:47" ht="15" customHeight="1">
      <c r="M142" s="223"/>
      <c r="N142" s="223"/>
      <c r="O142" s="223"/>
      <c r="P142" s="223"/>
      <c r="Q142" s="223"/>
      <c r="R142" s="223"/>
      <c r="S142" s="223"/>
      <c r="T142" s="223"/>
      <c r="U142" s="223"/>
      <c r="V142" s="223"/>
      <c r="AK142" s="114"/>
      <c r="AL142" s="381" t="s">
        <v>142</v>
      </c>
      <c r="AM142" s="387"/>
      <c r="AN142" s="387"/>
      <c r="AO142" s="387"/>
      <c r="AP142" s="387"/>
      <c r="AQ142" s="387"/>
      <c r="AR142" s="388"/>
      <c r="AS142" s="114"/>
      <c r="AT142" s="79"/>
      <c r="AU142" s="114"/>
    </row>
    <row r="143" spans="13:47" ht="15">
      <c r="M143" s="223"/>
      <c r="N143" s="223"/>
      <c r="O143" s="223"/>
      <c r="P143" s="223"/>
      <c r="Q143" s="223"/>
      <c r="R143" s="223"/>
      <c r="S143" s="223"/>
      <c r="T143" s="223"/>
      <c r="U143" s="223"/>
      <c r="V143" s="223"/>
      <c r="AK143" s="114"/>
      <c r="AL143" s="389"/>
      <c r="AM143" s="387"/>
      <c r="AN143" s="387"/>
      <c r="AO143" s="387"/>
      <c r="AP143" s="387"/>
      <c r="AQ143" s="387"/>
      <c r="AR143" s="388"/>
      <c r="AS143" s="114"/>
      <c r="AT143" s="79"/>
      <c r="AU143" s="114"/>
    </row>
    <row r="144" spans="13:47" ht="15">
      <c r="M144" s="223"/>
      <c r="N144" s="223"/>
      <c r="O144" s="223"/>
      <c r="P144" s="223"/>
      <c r="Q144" s="223"/>
      <c r="R144" s="223"/>
      <c r="S144" s="223"/>
      <c r="T144" s="223"/>
      <c r="U144" s="223"/>
      <c r="V144" s="223"/>
      <c r="AK144" s="114"/>
      <c r="AL144" s="389"/>
      <c r="AM144" s="387"/>
      <c r="AN144" s="387"/>
      <c r="AO144" s="387"/>
      <c r="AP144" s="387"/>
      <c r="AQ144" s="387"/>
      <c r="AR144" s="388"/>
      <c r="AS144" s="114"/>
      <c r="AT144" s="79"/>
      <c r="AU144" s="114"/>
    </row>
    <row r="145" spans="13:47" ht="15" thickBot="1">
      <c r="M145" s="223"/>
      <c r="N145" s="223"/>
      <c r="O145" s="223"/>
      <c r="P145" s="223"/>
      <c r="Q145" s="223"/>
      <c r="R145" s="223"/>
      <c r="S145" s="223"/>
      <c r="T145" s="223"/>
      <c r="U145" s="223"/>
      <c r="V145" s="223"/>
      <c r="AK145" s="114"/>
      <c r="AL145" s="390"/>
      <c r="AM145" s="391"/>
      <c r="AN145" s="391"/>
      <c r="AO145" s="391"/>
      <c r="AP145" s="391"/>
      <c r="AQ145" s="391"/>
      <c r="AR145" s="392"/>
      <c r="AS145" s="114"/>
      <c r="AT145" s="79"/>
      <c r="AU145" s="114"/>
    </row>
    <row r="146" spans="13:47" ht="15">
      <c r="M146" s="223"/>
      <c r="N146" s="223"/>
      <c r="O146" s="223"/>
      <c r="P146" s="223"/>
      <c r="Q146" s="223"/>
      <c r="R146" s="223"/>
      <c r="S146" s="223"/>
      <c r="T146" s="223"/>
      <c r="U146" s="223"/>
      <c r="V146" s="223"/>
      <c r="AK146" s="114"/>
      <c r="AL146" s="90"/>
      <c r="AM146" s="91"/>
      <c r="AN146" s="91"/>
      <c r="AO146" s="91"/>
      <c r="AP146" s="91"/>
      <c r="AQ146" s="91"/>
      <c r="AR146" s="91"/>
      <c r="AS146" s="114"/>
      <c r="AT146" s="79"/>
      <c r="AU146" s="114"/>
    </row>
    <row r="147" spans="13:47" ht="15">
      <c r="M147" s="223"/>
      <c r="N147" s="223"/>
      <c r="O147" s="223"/>
      <c r="P147" s="223"/>
      <c r="Q147" s="223"/>
      <c r="R147" s="223"/>
      <c r="S147" s="223"/>
      <c r="T147" s="223"/>
      <c r="U147" s="223"/>
      <c r="V147" s="223"/>
      <c r="AK147" s="114"/>
      <c r="AL147" s="81" t="s">
        <v>143</v>
      </c>
      <c r="AM147" s="114"/>
      <c r="AN147" s="81" t="s">
        <v>146</v>
      </c>
      <c r="AO147" s="114"/>
      <c r="AP147" s="81" t="s">
        <v>152</v>
      </c>
      <c r="AQ147" s="114"/>
      <c r="AR147" s="81" t="s">
        <v>158</v>
      </c>
      <c r="AS147" s="114"/>
      <c r="AT147" s="79"/>
      <c r="AU147" s="114"/>
    </row>
    <row r="148" spans="13:47" ht="15">
      <c r="M148" s="223"/>
      <c r="N148" s="223"/>
      <c r="O148" s="223"/>
      <c r="P148" s="223"/>
      <c r="Q148" s="223"/>
      <c r="R148" s="223"/>
      <c r="S148" s="223"/>
      <c r="T148" s="223"/>
      <c r="U148" s="223"/>
      <c r="V148" s="223"/>
      <c r="AK148" s="114"/>
      <c r="AL148" s="82" t="s">
        <v>144</v>
      </c>
      <c r="AM148" s="114"/>
      <c r="AN148" s="82" t="s">
        <v>147</v>
      </c>
      <c r="AO148" s="114"/>
      <c r="AP148" s="82" t="s">
        <v>153</v>
      </c>
      <c r="AQ148" s="114"/>
      <c r="AR148" s="82" t="s">
        <v>159</v>
      </c>
      <c r="AS148" s="114"/>
      <c r="AT148" s="79"/>
      <c r="AU148" s="114"/>
    </row>
    <row r="149" spans="13:47" ht="15">
      <c r="M149" s="223"/>
      <c r="N149" s="223"/>
      <c r="O149" s="223"/>
      <c r="P149" s="223"/>
      <c r="Q149" s="223"/>
      <c r="R149" s="223"/>
      <c r="S149" s="223"/>
      <c r="T149" s="223"/>
      <c r="U149" s="223"/>
      <c r="V149" s="223"/>
      <c r="AK149" s="114"/>
      <c r="AL149" s="82" t="s">
        <v>145</v>
      </c>
      <c r="AM149" s="114"/>
      <c r="AN149" s="82" t="s">
        <v>148</v>
      </c>
      <c r="AO149" s="114"/>
      <c r="AP149" s="82" t="s">
        <v>154</v>
      </c>
      <c r="AQ149" s="114"/>
      <c r="AR149" s="82" t="s">
        <v>160</v>
      </c>
      <c r="AS149" s="114"/>
      <c r="AT149" s="79"/>
      <c r="AU149" s="114"/>
    </row>
    <row r="150" spans="13:47" ht="15">
      <c r="M150" s="223"/>
      <c r="N150" s="223"/>
      <c r="O150" s="223"/>
      <c r="P150" s="223"/>
      <c r="Q150" s="223"/>
      <c r="R150" s="223"/>
      <c r="S150" s="223"/>
      <c r="T150" s="223"/>
      <c r="U150" s="223"/>
      <c r="V150" s="223"/>
      <c r="AK150" s="114"/>
      <c r="AL150" s="80"/>
      <c r="AM150" s="114"/>
      <c r="AN150" s="82" t="s">
        <v>149</v>
      </c>
      <c r="AO150" s="114"/>
      <c r="AP150" s="82" t="s">
        <v>155</v>
      </c>
      <c r="AQ150" s="114"/>
      <c r="AR150" s="114"/>
      <c r="AS150" s="114"/>
      <c r="AT150" s="79"/>
      <c r="AU150" s="114"/>
    </row>
    <row r="151" spans="13:47" ht="15">
      <c r="M151" s="223"/>
      <c r="N151" s="223"/>
      <c r="O151" s="223"/>
      <c r="P151" s="223"/>
      <c r="Q151" s="223"/>
      <c r="R151" s="223"/>
      <c r="S151" s="223"/>
      <c r="T151" s="223"/>
      <c r="U151" s="223"/>
      <c r="V151" s="223"/>
      <c r="AK151" s="114"/>
      <c r="AL151" s="114"/>
      <c r="AM151" s="114"/>
      <c r="AN151" s="82" t="s">
        <v>150</v>
      </c>
      <c r="AO151" s="114"/>
      <c r="AP151" s="82" t="s">
        <v>156</v>
      </c>
      <c r="AQ151" s="114"/>
      <c r="AR151" s="114"/>
      <c r="AS151" s="114"/>
      <c r="AT151" s="79"/>
      <c r="AU151" s="114"/>
    </row>
    <row r="152" spans="13:47" ht="15">
      <c r="M152" s="223"/>
      <c r="N152" s="223"/>
      <c r="O152" s="223"/>
      <c r="P152" s="223"/>
      <c r="Q152" s="223"/>
      <c r="R152" s="223"/>
      <c r="S152" s="223"/>
      <c r="T152" s="223"/>
      <c r="U152" s="223"/>
      <c r="V152" s="223"/>
      <c r="AK152" s="114"/>
      <c r="AL152" s="114"/>
      <c r="AM152" s="114"/>
      <c r="AN152" s="82" t="s">
        <v>151</v>
      </c>
      <c r="AO152" s="114"/>
      <c r="AP152" s="82" t="s">
        <v>157</v>
      </c>
      <c r="AQ152" s="114"/>
      <c r="AR152" s="114"/>
      <c r="AS152" s="114"/>
      <c r="AT152" s="79"/>
      <c r="AU152" s="114"/>
    </row>
    <row r="153" spans="13:45" ht="15">
      <c r="M153" s="223"/>
      <c r="N153" s="223"/>
      <c r="O153" s="223"/>
      <c r="P153" s="223"/>
      <c r="Q153" s="223"/>
      <c r="R153" s="223"/>
      <c r="S153" s="223"/>
      <c r="T153" s="223"/>
      <c r="U153" s="223"/>
      <c r="V153" s="223"/>
      <c r="AM153" s="114"/>
      <c r="AN153" s="114"/>
      <c r="AO153" s="114"/>
      <c r="AP153" s="114"/>
      <c r="AQ153" s="114"/>
      <c r="AR153" s="114"/>
      <c r="AS153" s="114"/>
    </row>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sheetData>
  <sheetProtection sheet="1" scenarios="1" formatCells="0" formatColumns="0" formatRows="0" selectLockedCells="1" autoFilter="0"/>
  <mergeCells count="37">
    <mergeCell ref="B99:J100"/>
    <mergeCell ref="B101:J103"/>
    <mergeCell ref="B104:J109"/>
    <mergeCell ref="B110:J118"/>
    <mergeCell ref="B93:J98"/>
    <mergeCell ref="B84:J88"/>
    <mergeCell ref="B89:J92"/>
    <mergeCell ref="C2:J2"/>
    <mergeCell ref="N3:S3"/>
    <mergeCell ref="M2:T2"/>
    <mergeCell ref="M47:T50"/>
    <mergeCell ref="Y4:Z4"/>
    <mergeCell ref="Y5:Z5"/>
    <mergeCell ref="Y6:Z6"/>
    <mergeCell ref="Y7:Z7"/>
    <mergeCell ref="C3:J3"/>
    <mergeCell ref="B4:B6"/>
    <mergeCell ref="D4:J4"/>
    <mergeCell ref="D5:F5"/>
    <mergeCell ref="H5:J5"/>
    <mergeCell ref="M54:T55"/>
    <mergeCell ref="M51:T51"/>
    <mergeCell ref="AL139:AR141"/>
    <mergeCell ref="AL142:AR145"/>
    <mergeCell ref="AT21:AU21"/>
    <mergeCell ref="AL137:AR137"/>
    <mergeCell ref="AL138:AR138"/>
    <mergeCell ref="M56:T57"/>
    <mergeCell ref="M62:R62"/>
    <mergeCell ref="AU7:AW7"/>
    <mergeCell ref="AL7:AR12"/>
    <mergeCell ref="AC12:AI17"/>
    <mergeCell ref="AT25:AV29"/>
    <mergeCell ref="AT22:AV24"/>
    <mergeCell ref="AL13:AR13"/>
    <mergeCell ref="AM14:AO14"/>
    <mergeCell ref="AP14:AR14"/>
  </mergeCells>
  <hyperlinks>
    <hyperlink ref="C2" r:id="rId1" display="http://www.socialsecurity.gov/OACT/ProgData/oasdiRates.html"/>
    <hyperlink ref="M2" r:id="rId2" display="http://www.taxpolicycenter.org/taxfacts/displayafact.cfm?Docid=45"/>
    <hyperlink ref="M2:T2" r:id="rId3" display="http://www.taxpolicycenter.org/taxfacts/displayafact.cfm?Docid=45"/>
    <hyperlink ref="AA11" r:id="rId4" display="Annual change"/>
    <hyperlink ref="Y11:AA11" r:id="rId5" display="Year"/>
    <hyperlink ref="AC11" r:id="rId6" display="Link to Social Security Benefits Calculations"/>
    <hyperlink ref="C3" r:id="rId7" display="http://www.socialsecurity.gov/OACT/ProgData/oasdiRates.html"/>
    <hyperlink ref="V3" r:id="rId8" display="Piketty and Saez (XLS)"/>
    <hyperlink ref="W3" r:id="rId9" display="Piketty and Saez "/>
    <hyperlink ref="R41" r:id="rId10" display="link href=%22/framework/css/noscript.css%22 type=%22text/css%22 rel=%22stylesheet%22 media=%22all%22 /"/>
    <hyperlink ref="M59" r:id="rId11" display="Caps:"/>
    <hyperlink ref="M62:R62" r:id="rId12" display="Maximum Taxable Earnings Each Year"/>
    <hyperlink ref="AF10" r:id="rId13" display="http://www.socialsecurity.gov/OACT/anypia/anypia.html"/>
    <hyperlink ref="AL5" r:id="rId14" display="http://www.ssa.gov/oact/NOTES/as120/LifeTables_Body.html"/>
    <hyperlink ref="AL148" r:id="rId15" display="http://www.ssa.gov/"/>
    <hyperlink ref="AL149" r:id="rId16" display="http://www.ssa.gov/multilanguage/"/>
    <hyperlink ref="AN148" r:id="rId17" display="http://www.ssa.gov/foia/"/>
    <hyperlink ref="AN149" r:id="rId18" display="http://www.ssa.gov/eeo/nofear/"/>
    <hyperlink ref="AN150" r:id="rId19" display="http://www.ssa.gov/privacy.html"/>
    <hyperlink ref="AN151" r:id="rId20" display="http://www.ssa.gov/accessibility/"/>
    <hyperlink ref="AN152" r:id="rId21" display="http://www.ssa.gov/websitepolicies.htm"/>
    <hyperlink ref="AP148" r:id="rId22" display="http://www.usa.gov/"/>
    <hyperlink ref="AP149" r:id="rId23" display="http://www.benefits.gov/"/>
    <hyperlink ref="AP150" r:id="rId24" display="http://www.mymoney.gov/"/>
    <hyperlink ref="AP151" r:id="rId25" display="http://www.regulations.gov/"/>
    <hyperlink ref="AP152" r:id="rId26" display="http://www.ssa.gov/pgm/other.html"/>
    <hyperlink ref="AR148" r:id="rId27" display="http://www.ssa.gov/sitemap.htm"/>
    <hyperlink ref="AR149" r:id="rId28" display="http://www.ssa.gov/aboutus/"/>
    <hyperlink ref="AL13:AR13" r:id="rId29" display="Actuarial Life Table"/>
    <hyperlink ref="Y8" r:id="rId30" display="http://www.socialsecurity.gov/OACT/ProgData/oasdiRates.html"/>
    <hyperlink ref="AU7:AV7" r:id="rId31" display="Normal Retirement Age"/>
  </hyperlinks>
  <printOptions/>
  <pageMargins left="0.7" right="0.7" top="0.75" bottom="0.75" header="0.3" footer="0.3"/>
  <pageSetup horizontalDpi="600" verticalDpi="600" orientation="portrait"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2013-02-04T22:50:23Z</dcterms:created>
  <dcterms:modified xsi:type="dcterms:W3CDTF">2013-06-11T03:43:02Z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